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260" tabRatio="738" activeTab="1"/>
  </bookViews>
  <sheets>
    <sheet name="PL" sheetId="7" r:id="rId1"/>
    <sheet name="Sheet2" sheetId="33" r:id="rId2"/>
    <sheet name="BS" sheetId="8" r:id="rId3"/>
    <sheet name="cfs" sheetId="12" r:id="rId4"/>
    <sheet name="WC" sheetId="9" r:id="rId5"/>
    <sheet name="Annexure" sheetId="31" r:id="rId6"/>
    <sheet name="TERM LOAN REPAYMENT" sheetId="25" r:id="rId7"/>
    <sheet name="Assumptions" sheetId="26" r:id="rId8"/>
    <sheet name="Sheet1" sheetId="32" r:id="rId9"/>
    <sheet name="COP MF" sheetId="27" r:id="rId10"/>
    <sheet name="Sheet3" sheetId="29" state="hidden" r:id="rId11"/>
    <sheet name="FA" sheetId="30" r:id="rId12"/>
  </sheets>
  <externalReferences>
    <externalReference r:id="rId13"/>
  </externalReferences>
  <definedNames>
    <definedName name="A">#N/A</definedName>
    <definedName name="A1_">[1]Ratio!$A$45:$I$76</definedName>
    <definedName name="AA">#N/A</definedName>
    <definedName name="AAA">[1]Ratio!$A$45:$I$75</definedName>
    <definedName name="AL">#REF!</definedName>
    <definedName name="ALPROJ">#REF!</definedName>
    <definedName name="assetproj">#REF!</definedName>
    <definedName name="assets">#REF!</definedName>
    <definedName name="B_RANGE">#REF!</definedName>
    <definedName name="BB_RANGE">#REF!</definedName>
    <definedName name="BBB_RANGE">#REF!</definedName>
    <definedName name="BuiltIn_Print_Titles">#REF!</definedName>
    <definedName name="CMA">#N/A</definedName>
    <definedName name="cpltdproj">#REF!</definedName>
    <definedName name="IRRRANGE">#REF!</definedName>
    <definedName name="lia">#REF!</definedName>
    <definedName name="liabilities">#REF!</definedName>
    <definedName name="liabproj">#REF!</definedName>
    <definedName name="PIR_RANGE">#REF!</definedName>
    <definedName name="pl">#REF!</definedName>
    <definedName name="PLPROJ">#REF!</definedName>
    <definedName name="PLRANGE">#REF!</definedName>
    <definedName name="_xlnm.Print_Area" localSheetId="2">BS!$A$1:$G$49</definedName>
    <definedName name="_xlnm.Print_Area" localSheetId="0">PL!$A$1:$D$40</definedName>
    <definedName name="RATIO">[1]Ratio!$A$45:$H$76</definedName>
  </definedNames>
  <calcPr calcId="152511"/>
</workbook>
</file>

<file path=xl/calcChain.xml><?xml version="1.0" encoding="utf-8"?>
<calcChain xmlns="http://schemas.openxmlformats.org/spreadsheetml/2006/main">
  <c r="F10" i="8" l="1"/>
  <c r="G10" i="8"/>
  <c r="H10" i="8"/>
  <c r="I10" i="8"/>
  <c r="J10" i="8" s="1"/>
  <c r="K10" i="8" s="1"/>
  <c r="E10" i="8"/>
  <c r="K44" i="8"/>
  <c r="J44" i="8"/>
  <c r="I44" i="8"/>
  <c r="H44" i="8"/>
  <c r="G44" i="8"/>
  <c r="F44" i="8"/>
  <c r="E44" i="8"/>
  <c r="C18" i="7" l="1"/>
  <c r="C31" i="7"/>
  <c r="M74" i="33"/>
  <c r="N74" i="33"/>
  <c r="O74" i="33"/>
  <c r="P74" i="33"/>
  <c r="Q74" i="33"/>
  <c r="R74" i="33"/>
  <c r="S74" i="33"/>
  <c r="L74" i="33"/>
  <c r="F35" i="26"/>
  <c r="G35" i="26" s="1"/>
  <c r="H35" i="26" s="1"/>
  <c r="I35" i="26" s="1"/>
  <c r="J35" i="26" s="1"/>
  <c r="K35" i="26" s="1"/>
  <c r="G37" i="32"/>
  <c r="K12" i="27" l="1"/>
  <c r="I18" i="27"/>
  <c r="I17" i="27"/>
  <c r="C11" i="12" l="1"/>
  <c r="I16" i="27" l="1"/>
  <c r="M13" i="26" l="1"/>
  <c r="C87" i="7" l="1"/>
  <c r="D83" i="7"/>
  <c r="E83" i="7"/>
  <c r="F83" i="7"/>
  <c r="G83" i="7"/>
  <c r="H83" i="7"/>
  <c r="I83" i="7"/>
  <c r="J83" i="7"/>
  <c r="C83" i="7"/>
  <c r="C89" i="7" l="1"/>
  <c r="C64" i="7" l="1"/>
  <c r="D54" i="7" l="1"/>
  <c r="D66" i="7" s="1"/>
  <c r="E54" i="7"/>
  <c r="E66" i="7" s="1"/>
  <c r="F54" i="7"/>
  <c r="F66" i="7" s="1"/>
  <c r="G54" i="7"/>
  <c r="G66" i="7" s="1"/>
  <c r="H54" i="7"/>
  <c r="H66" i="7" s="1"/>
  <c r="I54" i="7"/>
  <c r="I66" i="7" s="1"/>
  <c r="J54" i="7"/>
  <c r="J66" i="7" s="1"/>
  <c r="C54" i="7"/>
  <c r="C66" i="7" s="1"/>
  <c r="B52" i="7"/>
  <c r="C48" i="7"/>
  <c r="J4" i="7" l="1"/>
  <c r="C13" i="30" l="1"/>
  <c r="C14" i="30"/>
  <c r="C16" i="30"/>
  <c r="C17" i="30"/>
  <c r="C5" i="30"/>
  <c r="E5" i="30"/>
  <c r="C6" i="30"/>
  <c r="E6" i="30"/>
  <c r="G6" i="30" s="1"/>
  <c r="C7" i="30"/>
  <c r="C10" i="30" s="1"/>
  <c r="C8" i="30"/>
  <c r="E8" i="30"/>
  <c r="G8" i="30"/>
  <c r="C9" i="30"/>
  <c r="E9" i="30"/>
  <c r="G9" i="30"/>
  <c r="D10" i="30"/>
  <c r="F10" i="30"/>
  <c r="D18" i="27"/>
  <c r="D19" i="27"/>
  <c r="G7" i="27"/>
  <c r="R22" i="8"/>
  <c r="E7" i="30" l="1"/>
  <c r="G7" i="30" s="1"/>
  <c r="C15" i="30" s="1"/>
  <c r="G5" i="30"/>
  <c r="G10" i="30" s="1"/>
  <c r="D24" i="7"/>
  <c r="F10" i="9"/>
  <c r="G10" i="9"/>
  <c r="H10" i="9"/>
  <c r="I10" i="9"/>
  <c r="J10" i="9"/>
  <c r="K10" i="9"/>
  <c r="E10" i="9"/>
  <c r="E21" i="26"/>
  <c r="E22" i="26" s="1"/>
  <c r="E43" i="8" s="1"/>
  <c r="F64" i="26"/>
  <c r="G64" i="26" s="1"/>
  <c r="H64" i="26" s="1"/>
  <c r="I64" i="26" s="1"/>
  <c r="J64" i="26" s="1"/>
  <c r="K64" i="26" s="1"/>
  <c r="D15" i="8"/>
  <c r="E15" i="8" s="1"/>
  <c r="E34" i="8"/>
  <c r="F34" i="8"/>
  <c r="G34" i="8"/>
  <c r="H34" i="8"/>
  <c r="I34" i="8"/>
  <c r="J34" i="8"/>
  <c r="K34" i="8"/>
  <c r="E9" i="8"/>
  <c r="F9" i="8"/>
  <c r="G25" i="25"/>
  <c r="C24" i="7"/>
  <c r="E10" i="30" l="1"/>
  <c r="F21" i="26"/>
  <c r="F15" i="8"/>
  <c r="G15" i="8" s="1"/>
  <c r="H15" i="8" s="1"/>
  <c r="D9" i="8"/>
  <c r="I15" i="8" l="1"/>
  <c r="D18" i="9"/>
  <c r="D10" i="9"/>
  <c r="D4" i="9"/>
  <c r="C27" i="12"/>
  <c r="D23" i="12"/>
  <c r="C23" i="12"/>
  <c r="C12" i="12"/>
  <c r="C9" i="12"/>
  <c r="D9" i="12"/>
  <c r="L14" i="25"/>
  <c r="L13" i="25"/>
  <c r="L12" i="25"/>
  <c r="L11" i="25"/>
  <c r="L10" i="25"/>
  <c r="J14" i="25"/>
  <c r="D15" i="25" s="1"/>
  <c r="J13" i="25"/>
  <c r="J12" i="25"/>
  <c r="J11" i="25"/>
  <c r="J10" i="25"/>
  <c r="E10" i="25"/>
  <c r="E11" i="25" s="1"/>
  <c r="J15" i="8" l="1"/>
  <c r="K15" i="8" s="1"/>
  <c r="H10" i="25"/>
  <c r="F10" i="25" s="1"/>
  <c r="E12" i="25"/>
  <c r="H11" i="25"/>
  <c r="D6" i="8"/>
  <c r="D5" i="9" s="1"/>
  <c r="D34" i="26"/>
  <c r="D36" i="26" s="1"/>
  <c r="D37" i="26" s="1"/>
  <c r="D22" i="26"/>
  <c r="D11" i="26"/>
  <c r="D13" i="26" s="1"/>
  <c r="D14" i="26" s="1"/>
  <c r="D63" i="26" s="1"/>
  <c r="C5" i="7"/>
  <c r="C73" i="7" s="1"/>
  <c r="A1" i="7"/>
  <c r="D6" i="12"/>
  <c r="C6" i="12" s="1"/>
  <c r="I10" i="25" l="1"/>
  <c r="K10" i="25" s="1"/>
  <c r="I11" i="25"/>
  <c r="K11" i="25" s="1"/>
  <c r="F11" i="25"/>
  <c r="H12" i="25"/>
  <c r="E13" i="25"/>
  <c r="D70" i="26"/>
  <c r="D53" i="26"/>
  <c r="D43" i="8"/>
  <c r="D7" i="9" s="1"/>
  <c r="D45" i="26"/>
  <c r="D47" i="26" s="1"/>
  <c r="D24" i="26"/>
  <c r="D25" i="26" s="1"/>
  <c r="C13" i="7" s="1"/>
  <c r="D16" i="26"/>
  <c r="D72" i="30"/>
  <c r="D63" i="30"/>
  <c r="D54" i="30"/>
  <c r="D45" i="30"/>
  <c r="D36" i="30"/>
  <c r="D27" i="30"/>
  <c r="D18" i="30"/>
  <c r="E17" i="30"/>
  <c r="F17" i="30" s="1"/>
  <c r="E13" i="30"/>
  <c r="E16" i="30"/>
  <c r="F16" i="30" s="1"/>
  <c r="A1" i="25"/>
  <c r="L15" i="25"/>
  <c r="K6" i="29"/>
  <c r="F12" i="25" l="1"/>
  <c r="I12" i="25"/>
  <c r="K12" i="25" s="1"/>
  <c r="E14" i="25"/>
  <c r="H13" i="25"/>
  <c r="D55" i="26"/>
  <c r="D58" i="26"/>
  <c r="D60" i="26" s="1"/>
  <c r="D72" i="26"/>
  <c r="D73" i="26" s="1"/>
  <c r="D74" i="26" s="1"/>
  <c r="D21" i="8"/>
  <c r="G17" i="30"/>
  <c r="C26" i="30" s="1"/>
  <c r="E26" i="30" s="1"/>
  <c r="F26" i="30" s="1"/>
  <c r="G13" i="30"/>
  <c r="G16" i="30"/>
  <c r="C25" i="30" s="1"/>
  <c r="E25" i="30" s="1"/>
  <c r="F25" i="30" s="1"/>
  <c r="F6" i="29"/>
  <c r="F7" i="29" s="1"/>
  <c r="D6" i="29"/>
  <c r="E6" i="29" l="1"/>
  <c r="H6" i="29" s="1"/>
  <c r="D7" i="29" s="1"/>
  <c r="F8" i="29"/>
  <c r="G6" i="29"/>
  <c r="H14" i="25"/>
  <c r="I14" i="25" s="1"/>
  <c r="E15" i="25"/>
  <c r="D15" i="9"/>
  <c r="G25" i="30"/>
  <c r="C34" i="30" s="1"/>
  <c r="E34" i="30" s="1"/>
  <c r="F34" i="30" s="1"/>
  <c r="F13" i="25"/>
  <c r="I13" i="25"/>
  <c r="K13" i="25" s="1"/>
  <c r="F14" i="25"/>
  <c r="D44" i="8"/>
  <c r="D8" i="9" s="1"/>
  <c r="D78" i="26"/>
  <c r="C8" i="7" s="1"/>
  <c r="C17" i="7" s="1"/>
  <c r="C15" i="7"/>
  <c r="G26" i="30"/>
  <c r="C35" i="30" s="1"/>
  <c r="E35" i="30" s="1"/>
  <c r="F35" i="30" s="1"/>
  <c r="C22" i="30"/>
  <c r="D82" i="26" l="1"/>
  <c r="E7" i="29"/>
  <c r="G7" i="29" s="1"/>
  <c r="E15" i="30"/>
  <c r="F9" i="29"/>
  <c r="G34" i="30"/>
  <c r="C43" i="30" s="1"/>
  <c r="E43" i="30" s="1"/>
  <c r="F43" i="30" s="1"/>
  <c r="G43" i="30" s="1"/>
  <c r="C52" i="30" s="1"/>
  <c r="E52" i="30" s="1"/>
  <c r="F52" i="30" s="1"/>
  <c r="G52" i="30" s="1"/>
  <c r="C61" i="30" s="1"/>
  <c r="E61" i="30" s="1"/>
  <c r="K14" i="25"/>
  <c r="C10" i="7"/>
  <c r="D42" i="8"/>
  <c r="D9" i="9" s="1"/>
  <c r="C16" i="7"/>
  <c r="G35" i="30"/>
  <c r="C44" i="30" s="1"/>
  <c r="E44" i="30" s="1"/>
  <c r="F44" i="30" s="1"/>
  <c r="G44" i="30" s="1"/>
  <c r="C53" i="30" s="1"/>
  <c r="E53" i="30" s="1"/>
  <c r="F53" i="30" s="1"/>
  <c r="G53" i="30" s="1"/>
  <c r="C62" i="30" s="1"/>
  <c r="E62" i="30" s="1"/>
  <c r="F62" i="30" s="1"/>
  <c r="G62" i="30" s="1"/>
  <c r="C71" i="30" s="1"/>
  <c r="E71" i="30" s="1"/>
  <c r="F71" i="30" s="1"/>
  <c r="G71" i="30" s="1"/>
  <c r="E22" i="30"/>
  <c r="C75" i="7" l="1"/>
  <c r="C11" i="7"/>
  <c r="L11" i="7" s="1"/>
  <c r="C19" i="7"/>
  <c r="C21" i="7" s="1"/>
  <c r="H7" i="29"/>
  <c r="D8" i="29" s="1"/>
  <c r="E8" i="29" s="1"/>
  <c r="H8" i="29" s="1"/>
  <c r="D9" i="29" s="1"/>
  <c r="E9" i="29" s="1"/>
  <c r="F15" i="30"/>
  <c r="G15" i="30" s="1"/>
  <c r="C24" i="30" s="1"/>
  <c r="E24" i="30" s="1"/>
  <c r="F24" i="30" s="1"/>
  <c r="G24" i="30" s="1"/>
  <c r="C33" i="30" s="1"/>
  <c r="E33" i="30" s="1"/>
  <c r="F10" i="29"/>
  <c r="F61" i="30"/>
  <c r="G61" i="30" s="1"/>
  <c r="C70" i="30" s="1"/>
  <c r="E70" i="30" s="1"/>
  <c r="G22" i="30"/>
  <c r="C79" i="7" l="1"/>
  <c r="C35" i="7"/>
  <c r="H9" i="29"/>
  <c r="D10" i="29" s="1"/>
  <c r="E10" i="29" s="1"/>
  <c r="H10" i="29" s="1"/>
  <c r="D11" i="29" s="1"/>
  <c r="E11" i="29" s="1"/>
  <c r="G9" i="29"/>
  <c r="G8" i="29"/>
  <c r="F33" i="30"/>
  <c r="G33" i="30" s="1"/>
  <c r="C42" i="30" s="1"/>
  <c r="E42" i="30" s="1"/>
  <c r="F42" i="30" s="1"/>
  <c r="G42" i="30" s="1"/>
  <c r="C51" i="30" s="1"/>
  <c r="E51" i="30" s="1"/>
  <c r="F51" i="30" s="1"/>
  <c r="G51" i="30" s="1"/>
  <c r="C60" i="30" s="1"/>
  <c r="E60" i="30" s="1"/>
  <c r="F60" i="30" s="1"/>
  <c r="G60" i="30" s="1"/>
  <c r="C69" i="30" s="1"/>
  <c r="E69" i="30" s="1"/>
  <c r="F69" i="30" s="1"/>
  <c r="G69" i="30" s="1"/>
  <c r="F11" i="29"/>
  <c r="G10" i="29"/>
  <c r="F70" i="30"/>
  <c r="G70" i="30" s="1"/>
  <c r="C31" i="30"/>
  <c r="F12" i="29" l="1"/>
  <c r="F13" i="29" s="1"/>
  <c r="F14" i="29" s="1"/>
  <c r="F15" i="29" s="1"/>
  <c r="G11" i="29"/>
  <c r="H11" i="29"/>
  <c r="D12" i="29" s="1"/>
  <c r="E31" i="30"/>
  <c r="E12" i="29" l="1"/>
  <c r="H12" i="29"/>
  <c r="D13" i="29" s="1"/>
  <c r="E13" i="29" s="1"/>
  <c r="G13" i="29" s="1"/>
  <c r="G31" i="30"/>
  <c r="F16" i="29"/>
  <c r="H13" i="29"/>
  <c r="D14" i="29" s="1"/>
  <c r="G12" i="29" l="1"/>
  <c r="C40" i="30"/>
  <c r="E14" i="29"/>
  <c r="G14" i="29" s="1"/>
  <c r="F17" i="29"/>
  <c r="H14" i="29" l="1"/>
  <c r="D15" i="29" s="1"/>
  <c r="E15" i="29" s="1"/>
  <c r="G15" i="29" s="1"/>
  <c r="E40" i="30"/>
  <c r="F18" i="29"/>
  <c r="G40" i="30" l="1"/>
  <c r="H15" i="29"/>
  <c r="D16" i="29" s="1"/>
  <c r="F19" i="29"/>
  <c r="C49" i="30" l="1"/>
  <c r="E16" i="29"/>
  <c r="G16" i="29" s="1"/>
  <c r="F20" i="29"/>
  <c r="H16" i="29" l="1"/>
  <c r="D17" i="29" s="1"/>
  <c r="E17" i="29" s="1"/>
  <c r="E49" i="30"/>
  <c r="F21" i="29"/>
  <c r="G17" i="29" l="1"/>
  <c r="I17" i="29"/>
  <c r="G49" i="30"/>
  <c r="F22" i="29"/>
  <c r="H17" i="29"/>
  <c r="D18" i="29" s="1"/>
  <c r="C58" i="30" l="1"/>
  <c r="F23" i="29"/>
  <c r="E18" i="29"/>
  <c r="G18" i="29" l="1"/>
  <c r="E58" i="30"/>
  <c r="F24" i="29"/>
  <c r="H18" i="29"/>
  <c r="D19" i="29" s="1"/>
  <c r="G58" i="30" l="1"/>
  <c r="F25" i="29"/>
  <c r="E19" i="29"/>
  <c r="H19" i="29" s="1"/>
  <c r="D20" i="29" s="1"/>
  <c r="G19" i="29" l="1"/>
  <c r="C67" i="30"/>
  <c r="F26" i="29"/>
  <c r="E20" i="29"/>
  <c r="G20" i="29" s="1"/>
  <c r="H20" i="29" l="1"/>
  <c r="D21" i="29" s="1"/>
  <c r="E67" i="30"/>
  <c r="E21" i="29"/>
  <c r="G21" i="29" s="1"/>
  <c r="F27" i="29"/>
  <c r="H21" i="29" l="1"/>
  <c r="D22" i="29" s="1"/>
  <c r="E22" i="29" s="1"/>
  <c r="H22" i="29" s="1"/>
  <c r="D23" i="29" s="1"/>
  <c r="G67" i="30"/>
  <c r="F28" i="29"/>
  <c r="G22" i="29" l="1"/>
  <c r="E23" i="29"/>
  <c r="G23" i="29" s="1"/>
  <c r="F29" i="29"/>
  <c r="H23" i="29" l="1"/>
  <c r="D24" i="29" s="1"/>
  <c r="E24" i="29"/>
  <c r="G24" i="29" s="1"/>
  <c r="F30" i="29"/>
  <c r="H24" i="29" l="1"/>
  <c r="D25" i="29" s="1"/>
  <c r="E25" i="29" s="1"/>
  <c r="G25" i="29" s="1"/>
  <c r="F31" i="29"/>
  <c r="H25" i="29" l="1"/>
  <c r="D26" i="29" s="1"/>
  <c r="E26" i="29" s="1"/>
  <c r="G26" i="29" s="1"/>
  <c r="F32" i="29"/>
  <c r="F33" i="29" l="1"/>
  <c r="H26" i="29"/>
  <c r="D27" i="29" s="1"/>
  <c r="F34" i="29" l="1"/>
  <c r="E27" i="29"/>
  <c r="G27" i="29" s="1"/>
  <c r="H27" i="29" l="1"/>
  <c r="D28" i="29" s="1"/>
  <c r="F35" i="29"/>
  <c r="E28" i="29"/>
  <c r="G28" i="29" s="1"/>
  <c r="H28" i="29" l="1"/>
  <c r="D29" i="29" s="1"/>
  <c r="E29" i="29"/>
  <c r="F36" i="29"/>
  <c r="G29" i="29" l="1"/>
  <c r="I29" i="29"/>
  <c r="F37" i="29"/>
  <c r="H29" i="29"/>
  <c r="D30" i="29" s="1"/>
  <c r="F38" i="29" l="1"/>
  <c r="E30" i="29"/>
  <c r="G30" i="29" l="1"/>
  <c r="F39" i="29"/>
  <c r="H30" i="29"/>
  <c r="D31" i="29" s="1"/>
  <c r="F40" i="29" l="1"/>
  <c r="E31" i="29"/>
  <c r="G31" i="29" l="1"/>
  <c r="H31" i="29"/>
  <c r="D32" i="29" s="1"/>
  <c r="F41" i="29"/>
  <c r="E32" i="29" l="1"/>
  <c r="F42" i="29"/>
  <c r="G32" i="29" l="1"/>
  <c r="H32" i="29"/>
  <c r="D33" i="29" s="1"/>
  <c r="F43" i="29"/>
  <c r="E33" i="29" l="1"/>
  <c r="F44" i="29"/>
  <c r="G33" i="29" l="1"/>
  <c r="H33" i="29"/>
  <c r="D34" i="29" s="1"/>
  <c r="F45" i="29"/>
  <c r="E34" i="29" l="1"/>
  <c r="H34" i="29" s="1"/>
  <c r="D35" i="29" s="1"/>
  <c r="F46" i="29"/>
  <c r="E35" i="29" l="1"/>
  <c r="G35" i="29" s="1"/>
  <c r="G34" i="29"/>
  <c r="F47" i="29"/>
  <c r="H35" i="29" l="1"/>
  <c r="D36" i="29" s="1"/>
  <c r="E36" i="29" s="1"/>
  <c r="G36" i="29" s="1"/>
  <c r="F48" i="29"/>
  <c r="H36" i="29" l="1"/>
  <c r="D37" i="29" s="1"/>
  <c r="F49" i="29"/>
  <c r="E37" i="29" l="1"/>
  <c r="G37" i="29" s="1"/>
  <c r="F50" i="29"/>
  <c r="H37" i="29" l="1"/>
  <c r="D38" i="29" s="1"/>
  <c r="E38" i="29" s="1"/>
  <c r="G38" i="29" s="1"/>
  <c r="F51" i="29"/>
  <c r="H38" i="29" l="1"/>
  <c r="D39" i="29" s="1"/>
  <c r="E39" i="29" s="1"/>
  <c r="G39" i="29" s="1"/>
  <c r="F52" i="29"/>
  <c r="H39" i="29" l="1"/>
  <c r="D40" i="29" s="1"/>
  <c r="F53" i="29"/>
  <c r="E40" i="29" l="1"/>
  <c r="G40" i="29" s="1"/>
  <c r="F54" i="29"/>
  <c r="H40" i="29" l="1"/>
  <c r="D41" i="29" s="1"/>
  <c r="F55" i="29"/>
  <c r="E41" i="29" l="1"/>
  <c r="H41" i="29" s="1"/>
  <c r="D42" i="29" s="1"/>
  <c r="F56" i="29"/>
  <c r="E42" i="29" l="1"/>
  <c r="G41" i="29"/>
  <c r="I41" i="29"/>
  <c r="F57" i="29"/>
  <c r="G42" i="29" l="1"/>
  <c r="H42" i="29"/>
  <c r="D43" i="29" s="1"/>
  <c r="F58" i="29"/>
  <c r="E43" i="29" l="1"/>
  <c r="F59" i="29"/>
  <c r="G43" i="29" l="1"/>
  <c r="H43" i="29"/>
  <c r="D44" i="29" s="1"/>
  <c r="F60" i="29"/>
  <c r="E44" i="29" l="1"/>
  <c r="F61" i="29"/>
  <c r="G44" i="29" l="1"/>
  <c r="H44" i="29"/>
  <c r="D45" i="29" s="1"/>
  <c r="F62" i="29"/>
  <c r="E45" i="29" l="1"/>
  <c r="H45" i="29"/>
  <c r="D46" i="29" s="1"/>
  <c r="F63" i="29"/>
  <c r="E46" i="29" l="1"/>
  <c r="G46" i="29" s="1"/>
  <c r="G45" i="29"/>
  <c r="F64" i="29"/>
  <c r="H46" i="29" l="1"/>
  <c r="D47" i="29" s="1"/>
  <c r="F65" i="29"/>
  <c r="E47" i="29" l="1"/>
  <c r="F66" i="29"/>
  <c r="G47" i="29" l="1"/>
  <c r="H47" i="29"/>
  <c r="D48" i="29" s="1"/>
  <c r="F67" i="29"/>
  <c r="E48" i="29" l="1"/>
  <c r="G48" i="29" s="1"/>
  <c r="F68" i="29"/>
  <c r="H48" i="29" l="1"/>
  <c r="D49" i="29" s="1"/>
  <c r="F69" i="29"/>
  <c r="E49" i="29" l="1"/>
  <c r="G49" i="29" s="1"/>
  <c r="F70" i="29"/>
  <c r="H49" i="29" l="1"/>
  <c r="D50" i="29" s="1"/>
  <c r="E50" i="29" s="1"/>
  <c r="G50" i="29" s="1"/>
  <c r="F71" i="29"/>
  <c r="H50" i="29" l="1"/>
  <c r="D51" i="29" s="1"/>
  <c r="E51" i="29" s="1"/>
  <c r="G51" i="29" s="1"/>
  <c r="F72" i="29"/>
  <c r="H51" i="29" l="1"/>
  <c r="D52" i="29" s="1"/>
  <c r="F73" i="29"/>
  <c r="E52" i="29" l="1"/>
  <c r="G52" i="29" s="1"/>
  <c r="F74" i="29"/>
  <c r="H52" i="29" l="1"/>
  <c r="D53" i="29" s="1"/>
  <c r="F75" i="29"/>
  <c r="E53" i="29" l="1"/>
  <c r="H53" i="29" s="1"/>
  <c r="D54" i="29" s="1"/>
  <c r="F76" i="29"/>
  <c r="E54" i="29" l="1"/>
  <c r="G53" i="29"/>
  <c r="I53" i="29"/>
  <c r="F77" i="29"/>
  <c r="G54" i="29" l="1"/>
  <c r="H54" i="29"/>
  <c r="D55" i="29" s="1"/>
  <c r="F78" i="29"/>
  <c r="E55" i="29" l="1"/>
  <c r="F79" i="29"/>
  <c r="G55" i="29" l="1"/>
  <c r="H55" i="29"/>
  <c r="D56" i="29" s="1"/>
  <c r="F80" i="29"/>
  <c r="E56" i="29" l="1"/>
  <c r="F81" i="29"/>
  <c r="G56" i="29" l="1"/>
  <c r="H56" i="29"/>
  <c r="D57" i="29" s="1"/>
  <c r="F82" i="29"/>
  <c r="E57" i="29" l="1"/>
  <c r="H57" i="29" s="1"/>
  <c r="D58" i="29" s="1"/>
  <c r="F83" i="29"/>
  <c r="E58" i="29" l="1"/>
  <c r="G58" i="29" s="1"/>
  <c r="G57" i="29"/>
  <c r="F84" i="29"/>
  <c r="H58" i="29" l="1"/>
  <c r="D59" i="29" s="1"/>
  <c r="F85" i="29"/>
  <c r="E59" i="29" l="1"/>
  <c r="F86" i="29"/>
  <c r="G59" i="29" l="1"/>
  <c r="H59" i="29"/>
  <c r="D60" i="29" s="1"/>
  <c r="F87" i="29"/>
  <c r="E60" i="29" l="1"/>
  <c r="G60" i="29" s="1"/>
  <c r="F88" i="29"/>
  <c r="F89" i="29" s="1"/>
  <c r="F90" i="29" s="1"/>
  <c r="H60" i="29" l="1"/>
  <c r="D61" i="29" s="1"/>
  <c r="E61" i="29" l="1"/>
  <c r="G61" i="29" s="1"/>
  <c r="H61" i="29"/>
  <c r="D62" i="29" s="1"/>
  <c r="E62" i="29" l="1"/>
  <c r="G62" i="29" s="1"/>
  <c r="H62" i="29" l="1"/>
  <c r="D63" i="29" s="1"/>
  <c r="E63" i="29" l="1"/>
  <c r="G63" i="29" s="1"/>
  <c r="H63" i="29" l="1"/>
  <c r="D64" i="29" s="1"/>
  <c r="E64" i="29"/>
  <c r="G64" i="29" s="1"/>
  <c r="H64" i="29" l="1"/>
  <c r="D65" i="29" s="1"/>
  <c r="E65" i="29" l="1"/>
  <c r="H65" i="29" s="1"/>
  <c r="D66" i="29" s="1"/>
  <c r="E66" i="29" l="1"/>
  <c r="H66" i="29" s="1"/>
  <c r="D67" i="29" s="1"/>
  <c r="G65" i="29"/>
  <c r="I65" i="29"/>
  <c r="E67" i="29" l="1"/>
  <c r="G67" i="29" s="1"/>
  <c r="G66" i="29"/>
  <c r="H67" i="29" l="1"/>
  <c r="D68" i="29" s="1"/>
  <c r="E68" i="29" l="1"/>
  <c r="H68" i="29"/>
  <c r="D69" i="29" s="1"/>
  <c r="E69" i="29" l="1"/>
  <c r="G69" i="29" s="1"/>
  <c r="H69" i="29"/>
  <c r="D70" i="29" s="1"/>
  <c r="G68" i="29"/>
  <c r="E70" i="29" l="1"/>
  <c r="H70" i="29" s="1"/>
  <c r="D71" i="29" s="1"/>
  <c r="E71" i="29" l="1"/>
  <c r="G71" i="29" s="1"/>
  <c r="G70" i="29"/>
  <c r="H71" i="29" l="1"/>
  <c r="D72" i="29" s="1"/>
  <c r="E72" i="29" l="1"/>
  <c r="H72" i="29"/>
  <c r="D73" i="29" s="1"/>
  <c r="E73" i="29" l="1"/>
  <c r="G73" i="29" s="1"/>
  <c r="G72" i="29"/>
  <c r="H73" i="29" l="1"/>
  <c r="D74" i="29" s="1"/>
  <c r="E74" i="29" s="1"/>
  <c r="H74" i="29" l="1"/>
  <c r="D75" i="29" s="1"/>
  <c r="E75" i="29" s="1"/>
  <c r="G75" i="29" s="1"/>
  <c r="G74" i="29"/>
  <c r="H75" i="29" l="1"/>
  <c r="D76" i="29" s="1"/>
  <c r="E76" i="29" s="1"/>
  <c r="G76" i="29" l="1"/>
  <c r="H76" i="29"/>
  <c r="D77" i="29" s="1"/>
  <c r="E77" i="29"/>
  <c r="H77" i="29" s="1"/>
  <c r="D78" i="29" s="1"/>
  <c r="E78" i="29" l="1"/>
  <c r="G77" i="29"/>
  <c r="I77" i="29"/>
  <c r="G78" i="29" l="1"/>
  <c r="H78" i="29"/>
  <c r="D79" i="29" s="1"/>
  <c r="E79" i="29" l="1"/>
  <c r="H79" i="29" s="1"/>
  <c r="D80" i="29" s="1"/>
  <c r="E80" i="29" l="1"/>
  <c r="G80" i="29" s="1"/>
  <c r="G79" i="29"/>
  <c r="L4" i="25"/>
  <c r="K5" i="9"/>
  <c r="J5" i="9"/>
  <c r="I5" i="9"/>
  <c r="H5" i="9"/>
  <c r="G5" i="9"/>
  <c r="F5" i="9"/>
  <c r="E5" i="9"/>
  <c r="J6" i="12"/>
  <c r="I6" i="12"/>
  <c r="H6" i="12"/>
  <c r="G6" i="12"/>
  <c r="F6" i="12"/>
  <c r="E6" i="12"/>
  <c r="J23" i="12"/>
  <c r="I23" i="12"/>
  <c r="H23" i="12"/>
  <c r="G23" i="12"/>
  <c r="F23" i="12"/>
  <c r="J9" i="12"/>
  <c r="I9" i="12"/>
  <c r="H9" i="12"/>
  <c r="G9" i="12"/>
  <c r="F9" i="12"/>
  <c r="H80" i="29" l="1"/>
  <c r="D81" i="29" s="1"/>
  <c r="E81" i="29" s="1"/>
  <c r="J5" i="7"/>
  <c r="I5" i="7"/>
  <c r="I73" i="7" s="1"/>
  <c r="H5" i="7"/>
  <c r="H73" i="7" s="1"/>
  <c r="G5" i="7"/>
  <c r="F5" i="7"/>
  <c r="E5" i="7"/>
  <c r="E73" i="7" s="1"/>
  <c r="D5" i="7"/>
  <c r="F18" i="26"/>
  <c r="F59" i="26"/>
  <c r="F54" i="26"/>
  <c r="G54" i="26" s="1"/>
  <c r="H54" i="26" s="1"/>
  <c r="I54" i="26" s="1"/>
  <c r="J54" i="26" s="1"/>
  <c r="K54" i="26" s="1"/>
  <c r="F34" i="26"/>
  <c r="F36" i="26" s="1"/>
  <c r="F37" i="26" s="1"/>
  <c r="E34" i="26"/>
  <c r="G33" i="26"/>
  <c r="G34" i="26" s="1"/>
  <c r="G36" i="26" s="1"/>
  <c r="G37" i="26" s="1"/>
  <c r="F11" i="26"/>
  <c r="F13" i="26" s="1"/>
  <c r="F14" i="26" s="1"/>
  <c r="E11" i="26"/>
  <c r="E13" i="26" s="1"/>
  <c r="E14" i="26" s="1"/>
  <c r="G10" i="26"/>
  <c r="G11" i="26" s="1"/>
  <c r="G13" i="26" s="1"/>
  <c r="G14" i="26" s="1"/>
  <c r="D5" i="12" l="1"/>
  <c r="D73" i="7"/>
  <c r="J5" i="12"/>
  <c r="J73" i="7"/>
  <c r="F5" i="12"/>
  <c r="F73" i="7"/>
  <c r="G5" i="12"/>
  <c r="G73" i="7"/>
  <c r="E36" i="26"/>
  <c r="E37" i="26" s="1"/>
  <c r="E42" i="26" s="1"/>
  <c r="F39" i="26" s="1"/>
  <c r="E16" i="26"/>
  <c r="E63" i="26"/>
  <c r="G16" i="26"/>
  <c r="G63" i="26"/>
  <c r="F16" i="26"/>
  <c r="F63" i="26"/>
  <c r="G42" i="26"/>
  <c r="H39" i="26" s="1"/>
  <c r="F42" i="26"/>
  <c r="G39" i="26" s="1"/>
  <c r="H81" i="29"/>
  <c r="D82" i="29" s="1"/>
  <c r="E82" i="29"/>
  <c r="G82" i="29" s="1"/>
  <c r="G81" i="29"/>
  <c r="H5" i="8"/>
  <c r="H4" i="9" s="1"/>
  <c r="E5" i="8"/>
  <c r="E4" i="9" s="1"/>
  <c r="G5" i="8"/>
  <c r="G4" i="9" s="1"/>
  <c r="K5" i="8"/>
  <c r="K4" i="9" s="1"/>
  <c r="F5" i="8"/>
  <c r="F4" i="9" s="1"/>
  <c r="E5" i="12"/>
  <c r="J5" i="8"/>
  <c r="J4" i="9" s="1"/>
  <c r="I5" i="12"/>
  <c r="I5" i="8"/>
  <c r="I4" i="9" s="1"/>
  <c r="H5" i="12"/>
  <c r="E24" i="26"/>
  <c r="E25" i="26" s="1"/>
  <c r="D13" i="7" s="1"/>
  <c r="F22" i="26"/>
  <c r="F43" i="8" s="1"/>
  <c r="F53" i="26"/>
  <c r="G53" i="26"/>
  <c r="H33" i="26"/>
  <c r="H34" i="26" s="1"/>
  <c r="H36" i="26" s="1"/>
  <c r="H37" i="26" s="1"/>
  <c r="H42" i="26" s="1"/>
  <c r="E53" i="26"/>
  <c r="E55" i="26" s="1"/>
  <c r="G59" i="26"/>
  <c r="H59" i="26" s="1"/>
  <c r="H10" i="26"/>
  <c r="H11" i="26" s="1"/>
  <c r="H13" i="26" s="1"/>
  <c r="E21" i="8" l="1"/>
  <c r="E25" i="8" s="1"/>
  <c r="F45" i="26"/>
  <c r="F47" i="26" s="1"/>
  <c r="G45" i="26"/>
  <c r="G47" i="26" s="1"/>
  <c r="H82" i="29"/>
  <c r="D83" i="29" s="1"/>
  <c r="F19" i="26"/>
  <c r="E7" i="9"/>
  <c r="E83" i="29"/>
  <c r="H83" i="29" s="1"/>
  <c r="D84" i="29" s="1"/>
  <c r="G69" i="26"/>
  <c r="F69" i="26"/>
  <c r="E69" i="26"/>
  <c r="E45" i="26"/>
  <c r="E47" i="26" s="1"/>
  <c r="I39" i="26"/>
  <c r="G18" i="26"/>
  <c r="G21" i="26"/>
  <c r="G22" i="26" s="1"/>
  <c r="G43" i="8" s="1"/>
  <c r="F24" i="26"/>
  <c r="F25" i="26" s="1"/>
  <c r="E13" i="7" s="1"/>
  <c r="H14" i="26"/>
  <c r="H63" i="26" s="1"/>
  <c r="H53" i="26"/>
  <c r="I33" i="26"/>
  <c r="I34" i="26" s="1"/>
  <c r="I36" i="26" s="1"/>
  <c r="I37" i="26" s="1"/>
  <c r="I42" i="26" s="1"/>
  <c r="I59" i="26"/>
  <c r="I10" i="26"/>
  <c r="I11" i="26" s="1"/>
  <c r="I13" i="26" s="1"/>
  <c r="D17" i="27"/>
  <c r="D14" i="27"/>
  <c r="D21" i="27" s="1"/>
  <c r="E15" i="9" l="1"/>
  <c r="F21" i="8"/>
  <c r="F25" i="8" s="1"/>
  <c r="E16" i="12" s="1"/>
  <c r="E84" i="29"/>
  <c r="G84" i="29" s="1"/>
  <c r="H84" i="29"/>
  <c r="D85" i="29" s="1"/>
  <c r="G83" i="29"/>
  <c r="G19" i="26"/>
  <c r="F7" i="9"/>
  <c r="H45" i="26"/>
  <c r="H47" i="26" s="1"/>
  <c r="F66" i="26"/>
  <c r="F72" i="26" s="1"/>
  <c r="F73" i="26" s="1"/>
  <c r="E70" i="26"/>
  <c r="F67" i="26" s="1"/>
  <c r="G66" i="26"/>
  <c r="G72" i="26" s="1"/>
  <c r="G73" i="26" s="1"/>
  <c r="F70" i="26"/>
  <c r="G67" i="26" s="1"/>
  <c r="E72" i="26"/>
  <c r="E73" i="26" s="1"/>
  <c r="H66" i="26"/>
  <c r="G70" i="26"/>
  <c r="H67" i="26" s="1"/>
  <c r="H16" i="26"/>
  <c r="J39" i="26"/>
  <c r="H21" i="26"/>
  <c r="H22" i="26" s="1"/>
  <c r="H43" i="8" s="1"/>
  <c r="H18" i="26"/>
  <c r="G24" i="26"/>
  <c r="G25" i="26" s="1"/>
  <c r="F13" i="7" s="1"/>
  <c r="G21" i="8" s="1"/>
  <c r="J33" i="26"/>
  <c r="J34" i="26" s="1"/>
  <c r="J36" i="26" s="1"/>
  <c r="J37" i="26" s="1"/>
  <c r="J42" i="26" s="1"/>
  <c r="I14" i="26"/>
  <c r="I63" i="26" s="1"/>
  <c r="I53" i="26"/>
  <c r="J59" i="26"/>
  <c r="J10" i="26"/>
  <c r="J11" i="26" s="1"/>
  <c r="J13" i="26" s="1"/>
  <c r="A28" i="26"/>
  <c r="A52" i="26" s="1"/>
  <c r="A57" i="26" s="1"/>
  <c r="J3" i="9"/>
  <c r="F15" i="9" l="1"/>
  <c r="G25" i="8"/>
  <c r="G11" i="12"/>
  <c r="E11" i="12"/>
  <c r="I11" i="12"/>
  <c r="H19" i="26"/>
  <c r="G7" i="9"/>
  <c r="E85" i="29"/>
  <c r="H85" i="29"/>
  <c r="D86" i="29" s="1"/>
  <c r="J11" i="12"/>
  <c r="H11" i="12"/>
  <c r="D11" i="12"/>
  <c r="F11" i="12"/>
  <c r="E74" i="26"/>
  <c r="F74" i="26"/>
  <c r="F78" i="26"/>
  <c r="E8" i="7" s="1"/>
  <c r="G74" i="26"/>
  <c r="G78" i="26"/>
  <c r="F8" i="7" s="1"/>
  <c r="E78" i="26"/>
  <c r="D8" i="7" s="1"/>
  <c r="D16" i="7" s="1"/>
  <c r="H69" i="26"/>
  <c r="K10" i="26"/>
  <c r="K11" i="26" s="1"/>
  <c r="K13" i="26" s="1"/>
  <c r="K53" i="26" s="1"/>
  <c r="I16" i="26"/>
  <c r="K39" i="26"/>
  <c r="K33" i="26"/>
  <c r="K34" i="26" s="1"/>
  <c r="K36" i="26" s="1"/>
  <c r="K37" i="26" s="1"/>
  <c r="K42" i="26" s="1"/>
  <c r="I45" i="26"/>
  <c r="I47" i="26" s="1"/>
  <c r="I21" i="26"/>
  <c r="I22" i="26" s="1"/>
  <c r="I43" i="8" s="1"/>
  <c r="H24" i="26"/>
  <c r="H25" i="26" s="1"/>
  <c r="G13" i="7" s="1"/>
  <c r="I18" i="26"/>
  <c r="J14" i="26"/>
  <c r="J63" i="26" s="1"/>
  <c r="J53" i="26"/>
  <c r="K59" i="26"/>
  <c r="H21" i="8" l="1"/>
  <c r="H25" i="8" s="1"/>
  <c r="G16" i="12" s="1"/>
  <c r="F16" i="12"/>
  <c r="G15" i="9"/>
  <c r="G9" i="9"/>
  <c r="F16" i="7"/>
  <c r="F9" i="9"/>
  <c r="E16" i="7"/>
  <c r="I19" i="26"/>
  <c r="H7" i="9"/>
  <c r="E86" i="29"/>
  <c r="G86" i="29" s="1"/>
  <c r="G85" i="29"/>
  <c r="K14" i="26"/>
  <c r="E17" i="7"/>
  <c r="F17" i="7"/>
  <c r="D17" i="7"/>
  <c r="I66" i="26"/>
  <c r="H70" i="26"/>
  <c r="I67" i="26" s="1"/>
  <c r="I69" i="26"/>
  <c r="H72" i="26"/>
  <c r="H73" i="26" s="1"/>
  <c r="J16" i="26"/>
  <c r="I24" i="26"/>
  <c r="I25" i="26" s="1"/>
  <c r="H13" i="7" s="1"/>
  <c r="K45" i="26"/>
  <c r="K47" i="26" s="1"/>
  <c r="J45" i="26"/>
  <c r="J47" i="26" s="1"/>
  <c r="J21" i="26"/>
  <c r="J22" i="26" s="1"/>
  <c r="J43" i="8" s="1"/>
  <c r="J18" i="26"/>
  <c r="F58" i="26"/>
  <c r="F60" i="26" s="1"/>
  <c r="E58" i="26"/>
  <c r="E60" i="26" s="1"/>
  <c r="E16" i="25"/>
  <c r="E17" i="25" s="1"/>
  <c r="E18" i="25" s="1"/>
  <c r="E19" i="25" s="1"/>
  <c r="E20" i="25" s="1"/>
  <c r="E21" i="25" s="1"/>
  <c r="E22" i="25" s="1"/>
  <c r="E23" i="25" s="1"/>
  <c r="E24" i="25" s="1"/>
  <c r="E25" i="25" s="1"/>
  <c r="E26" i="25" s="1"/>
  <c r="E27" i="25" s="1"/>
  <c r="E28" i="25" s="1"/>
  <c r="E29" i="25" s="1"/>
  <c r="E30" i="25" s="1"/>
  <c r="E31" i="25" s="1"/>
  <c r="E32" i="25" s="1"/>
  <c r="E33" i="25" s="1"/>
  <c r="E34" i="25" s="1"/>
  <c r="E35" i="25" s="1"/>
  <c r="E36" i="25" s="1"/>
  <c r="E37" i="25" s="1"/>
  <c r="E38" i="25" s="1"/>
  <c r="E39" i="25" s="1"/>
  <c r="E40" i="25" s="1"/>
  <c r="E41" i="25" s="1"/>
  <c r="E42" i="25" s="1"/>
  <c r="E43" i="25" s="1"/>
  <c r="E44" i="25" s="1"/>
  <c r="E45" i="25" s="1"/>
  <c r="E46" i="25" s="1"/>
  <c r="E47" i="25" s="1"/>
  <c r="E48" i="25" s="1"/>
  <c r="E49" i="25" s="1"/>
  <c r="E50" i="25" s="1"/>
  <c r="E51" i="25" s="1"/>
  <c r="E52" i="25" s="1"/>
  <c r="E53" i="25" s="1"/>
  <c r="E54" i="25" s="1"/>
  <c r="E55" i="25" s="1"/>
  <c r="E56" i="25" s="1"/>
  <c r="E57" i="25" s="1"/>
  <c r="E58" i="25" s="1"/>
  <c r="E59" i="25" s="1"/>
  <c r="E60" i="25" s="1"/>
  <c r="E61" i="25" s="1"/>
  <c r="E62" i="25" s="1"/>
  <c r="E63" i="25" s="1"/>
  <c r="E64" i="25" s="1"/>
  <c r="E65" i="25" s="1"/>
  <c r="E66" i="25" s="1"/>
  <c r="E67" i="25" s="1"/>
  <c r="E68" i="25" s="1"/>
  <c r="E69" i="25" s="1"/>
  <c r="E70" i="25" s="1"/>
  <c r="E71" i="25" s="1"/>
  <c r="E72" i="25" s="1"/>
  <c r="E73" i="25" s="1"/>
  <c r="E74" i="25" s="1"/>
  <c r="E75" i="25" s="1"/>
  <c r="E76" i="25" s="1"/>
  <c r="E77" i="25" s="1"/>
  <c r="E78" i="25" s="1"/>
  <c r="E79" i="25" s="1"/>
  <c r="E80" i="25" s="1"/>
  <c r="E81" i="25" s="1"/>
  <c r="E82" i="25" s="1"/>
  <c r="E83" i="25" s="1"/>
  <c r="E84" i="25" s="1"/>
  <c r="E85" i="25" s="1"/>
  <c r="E86" i="25" s="1"/>
  <c r="E87" i="25" s="1"/>
  <c r="E88" i="25" s="1"/>
  <c r="E89" i="25" s="1"/>
  <c r="E90" i="25" s="1"/>
  <c r="E91" i="25" s="1"/>
  <c r="E92" i="25" s="1"/>
  <c r="E93" i="25" s="1"/>
  <c r="H15" i="9" l="1"/>
  <c r="I21" i="8"/>
  <c r="I25" i="8" s="1"/>
  <c r="H16" i="12" s="1"/>
  <c r="K16" i="26"/>
  <c r="K63" i="26"/>
  <c r="K69" i="26" s="1"/>
  <c r="K70" i="26" s="1"/>
  <c r="J19" i="26"/>
  <c r="I7" i="9"/>
  <c r="H86" i="29"/>
  <c r="D87" i="29" s="1"/>
  <c r="E43" i="26"/>
  <c r="D15" i="7"/>
  <c r="H74" i="26"/>
  <c r="H78" i="26"/>
  <c r="G8" i="7" s="1"/>
  <c r="J69" i="26"/>
  <c r="J66" i="26"/>
  <c r="I70" i="26"/>
  <c r="J67" i="26" s="1"/>
  <c r="I72" i="26"/>
  <c r="I73" i="26" s="1"/>
  <c r="K21" i="26"/>
  <c r="K22" i="26" s="1"/>
  <c r="K43" i="8" s="1"/>
  <c r="K18" i="26"/>
  <c r="J24" i="26"/>
  <c r="J25" i="26" s="1"/>
  <c r="I13" i="7" s="1"/>
  <c r="G58" i="26"/>
  <c r="G60" i="26" s="1"/>
  <c r="H58" i="26"/>
  <c r="H60" i="26" s="1"/>
  <c r="H15" i="25"/>
  <c r="E8" i="9" l="1"/>
  <c r="I15" i="9"/>
  <c r="J21" i="8"/>
  <c r="J25" i="8" s="1"/>
  <c r="I16" i="12" s="1"/>
  <c r="H9" i="9"/>
  <c r="G16" i="7"/>
  <c r="E87" i="29"/>
  <c r="G87" i="29" s="1"/>
  <c r="K19" i="26"/>
  <c r="J7" i="9"/>
  <c r="F15" i="25"/>
  <c r="F40" i="26"/>
  <c r="D14" i="7"/>
  <c r="D19" i="7" s="1"/>
  <c r="G17" i="7"/>
  <c r="I74" i="26"/>
  <c r="I78" i="26"/>
  <c r="H8" i="7" s="1"/>
  <c r="E82" i="26"/>
  <c r="J72" i="26"/>
  <c r="J73" i="26" s="1"/>
  <c r="K66" i="26"/>
  <c r="K72" i="26" s="1"/>
  <c r="K73" i="26" s="1"/>
  <c r="J70" i="26"/>
  <c r="K67" i="26" s="1"/>
  <c r="K24" i="26"/>
  <c r="K25" i="26" s="1"/>
  <c r="J13" i="7" s="1"/>
  <c r="K21" i="8" s="1"/>
  <c r="K7" i="9"/>
  <c r="J15" i="9" l="1"/>
  <c r="I9" i="9"/>
  <c r="H16" i="7"/>
  <c r="K15" i="9"/>
  <c r="K19" i="9" s="1"/>
  <c r="H87" i="29"/>
  <c r="D88" i="29" s="1"/>
  <c r="J74" i="26"/>
  <c r="J78" i="26"/>
  <c r="I8" i="7" s="1"/>
  <c r="I16" i="7" s="1"/>
  <c r="H10" i="7"/>
  <c r="H18" i="7" s="1"/>
  <c r="H17" i="7"/>
  <c r="K74" i="26"/>
  <c r="K78" i="26"/>
  <c r="J8" i="7" s="1"/>
  <c r="J16" i="7" s="1"/>
  <c r="I58" i="26"/>
  <c r="I60" i="26" s="1"/>
  <c r="K58" i="26"/>
  <c r="K60" i="26" s="1"/>
  <c r="H75" i="7" l="1"/>
  <c r="H11" i="7"/>
  <c r="J9" i="9"/>
  <c r="I10" i="7"/>
  <c r="I18" i="7" s="1"/>
  <c r="I17" i="7"/>
  <c r="E88" i="29"/>
  <c r="G88" i="29" s="1"/>
  <c r="J17" i="7"/>
  <c r="K9" i="9"/>
  <c r="J10" i="7"/>
  <c r="J18" i="7" s="1"/>
  <c r="J58" i="26"/>
  <c r="J60" i="26" s="1"/>
  <c r="I15" i="25"/>
  <c r="E23" i="12"/>
  <c r="E9" i="12"/>
  <c r="H71" i="7" l="1"/>
  <c r="Q11" i="7"/>
  <c r="I75" i="7"/>
  <c r="I77" i="7" s="1"/>
  <c r="I11" i="7"/>
  <c r="J75" i="7"/>
  <c r="J11" i="7"/>
  <c r="H88" i="29"/>
  <c r="D89" i="29" s="1"/>
  <c r="K15" i="25"/>
  <c r="L5" i="25"/>
  <c r="I71" i="7" l="1"/>
  <c r="R11" i="7"/>
  <c r="J71" i="7"/>
  <c r="S11" i="7"/>
  <c r="J77" i="7"/>
  <c r="E89" i="29"/>
  <c r="H89" i="29"/>
  <c r="G16" i="25"/>
  <c r="G30" i="25"/>
  <c r="J15" i="25"/>
  <c r="E90" i="29" l="1"/>
  <c r="G89" i="29"/>
  <c r="G90" i="29" s="1"/>
  <c r="I89" i="29"/>
  <c r="I90" i="29" s="1"/>
  <c r="L16" i="25"/>
  <c r="L30" i="25"/>
  <c r="G17" i="25"/>
  <c r="D16" i="25"/>
  <c r="H16" i="25" s="1"/>
  <c r="F16" i="25" l="1"/>
  <c r="G18" i="25"/>
  <c r="L17" i="25"/>
  <c r="I16" i="25"/>
  <c r="J16" i="25"/>
  <c r="H17" i="25" s="1"/>
  <c r="K16" i="25" l="1"/>
  <c r="G19" i="25"/>
  <c r="L18" i="25"/>
  <c r="F17" i="25"/>
  <c r="J17" i="25"/>
  <c r="I17" i="25"/>
  <c r="C26" i="7" s="1"/>
  <c r="C28" i="7" l="1"/>
  <c r="C62" i="7" s="1"/>
  <c r="C68" i="7" s="1"/>
  <c r="C91" i="7" s="1"/>
  <c r="C37" i="7"/>
  <c r="D18" i="25"/>
  <c r="H18" i="25" s="1"/>
  <c r="F18" i="25" s="1"/>
  <c r="K17" i="25"/>
  <c r="D30" i="8"/>
  <c r="C21" i="12" s="1"/>
  <c r="C25" i="12" s="1"/>
  <c r="G20" i="25"/>
  <c r="L19" i="25"/>
  <c r="I18" i="25" l="1"/>
  <c r="K18" i="25" s="1"/>
  <c r="J18" i="25"/>
  <c r="D19" i="25" s="1"/>
  <c r="H19" i="25" s="1"/>
  <c r="F19" i="25" s="1"/>
  <c r="G21" i="25"/>
  <c r="L20" i="25"/>
  <c r="L21" i="25" s="1"/>
  <c r="I19" i="25" l="1"/>
  <c r="K19" i="25" s="1"/>
  <c r="J19" i="25"/>
  <c r="D20" i="25" s="1"/>
  <c r="H20" i="25" s="1"/>
  <c r="F20" i="25" s="1"/>
  <c r="D32" i="8"/>
  <c r="G22" i="25"/>
  <c r="I20" i="25" l="1"/>
  <c r="K20" i="25" s="1"/>
  <c r="J20" i="25"/>
  <c r="D21" i="25" s="1"/>
  <c r="H21" i="25" s="1"/>
  <c r="F21" i="25" s="1"/>
  <c r="C15" i="12"/>
  <c r="C30" i="7"/>
  <c r="C32" i="7" s="1"/>
  <c r="C46" i="7" s="1"/>
  <c r="C50" i="7" s="1"/>
  <c r="G23" i="25"/>
  <c r="L22" i="25"/>
  <c r="I21" i="25"/>
  <c r="C52" i="7" l="1"/>
  <c r="C56" i="7" s="1"/>
  <c r="C59" i="7" s="1"/>
  <c r="K21" i="25"/>
  <c r="J21" i="25"/>
  <c r="D22" i="25" s="1"/>
  <c r="H22" i="25" s="1"/>
  <c r="F22" i="25" s="1"/>
  <c r="D10" i="8"/>
  <c r="G24" i="25"/>
  <c r="L23" i="25"/>
  <c r="J22" i="25" l="1"/>
  <c r="D23" i="25" s="1"/>
  <c r="H23" i="25" s="1"/>
  <c r="F23" i="25" s="1"/>
  <c r="I22" i="25"/>
  <c r="K22" i="25" s="1"/>
  <c r="C10" i="12"/>
  <c r="L24" i="25"/>
  <c r="I23" i="25" l="1"/>
  <c r="K23" i="25" s="1"/>
  <c r="J23" i="25"/>
  <c r="D24" i="25" s="1"/>
  <c r="H24" i="25" s="1"/>
  <c r="F24" i="25" s="1"/>
  <c r="G26" i="25"/>
  <c r="L25" i="25"/>
  <c r="J24" i="25" l="1"/>
  <c r="D25" i="25" s="1"/>
  <c r="H25" i="25" s="1"/>
  <c r="F25" i="25" s="1"/>
  <c r="I24" i="25"/>
  <c r="K24" i="25" s="1"/>
  <c r="G27" i="25"/>
  <c r="L26" i="25"/>
  <c r="J25" i="25"/>
  <c r="D26" i="25" s="1"/>
  <c r="H26" i="25" s="1"/>
  <c r="F26" i="25" s="1"/>
  <c r="I25" i="25"/>
  <c r="K25" i="25" l="1"/>
  <c r="G28" i="25"/>
  <c r="L27" i="25"/>
  <c r="J26" i="25"/>
  <c r="D27" i="25" s="1"/>
  <c r="H27" i="25" s="1"/>
  <c r="F27" i="25" s="1"/>
  <c r="I26" i="25"/>
  <c r="K26" i="25" l="1"/>
  <c r="G29" i="25"/>
  <c r="L28" i="25"/>
  <c r="I27" i="25"/>
  <c r="J27" i="25"/>
  <c r="K27" i="25" l="1"/>
  <c r="G31" i="25"/>
  <c r="L29" i="25"/>
  <c r="D28" i="25"/>
  <c r="H28" i="25" s="1"/>
  <c r="F28" i="25" s="1"/>
  <c r="G32" i="25" l="1"/>
  <c r="L31" i="25"/>
  <c r="I28" i="25"/>
  <c r="K28" i="25" s="1"/>
  <c r="J28" i="25"/>
  <c r="D29" i="25" s="1"/>
  <c r="H29" i="25" s="1"/>
  <c r="F29" i="25" s="1"/>
  <c r="G33" i="25" l="1"/>
  <c r="L32" i="25"/>
  <c r="I29" i="25"/>
  <c r="K29" i="25" s="1"/>
  <c r="D23" i="7" s="1"/>
  <c r="J29" i="25"/>
  <c r="D64" i="7" l="1"/>
  <c r="D48" i="7"/>
  <c r="D30" i="25"/>
  <c r="H30" i="25" s="1"/>
  <c r="F30" i="25" s="1"/>
  <c r="G34" i="25"/>
  <c r="L33" i="25"/>
  <c r="E14" i="30" l="1"/>
  <c r="C18" i="30"/>
  <c r="E30" i="8" s="1"/>
  <c r="D21" i="12" s="1"/>
  <c r="I30" i="25"/>
  <c r="K30" i="25" s="1"/>
  <c r="J30" i="25"/>
  <c r="D31" i="25" s="1"/>
  <c r="H31" i="25" s="1"/>
  <c r="F31" i="25" s="1"/>
  <c r="G35" i="25"/>
  <c r="L34" i="25"/>
  <c r="F14" i="30" l="1"/>
  <c r="F18" i="30" s="1"/>
  <c r="D29" i="7" s="1"/>
  <c r="D15" i="12" s="1"/>
  <c r="E18" i="30"/>
  <c r="J31" i="25"/>
  <c r="D32" i="25" s="1"/>
  <c r="H32" i="25" s="1"/>
  <c r="F32" i="25" s="1"/>
  <c r="I31" i="25"/>
  <c r="K31" i="25" s="1"/>
  <c r="G36" i="25"/>
  <c r="L35" i="25"/>
  <c r="J32" i="25" l="1"/>
  <c r="D33" i="25" s="1"/>
  <c r="H33" i="25" s="1"/>
  <c r="F33" i="25" s="1"/>
  <c r="E31" i="8"/>
  <c r="E32" i="8" s="1"/>
  <c r="G14" i="30"/>
  <c r="I32" i="25"/>
  <c r="K32" i="25" s="1"/>
  <c r="G37" i="25"/>
  <c r="L36" i="25"/>
  <c r="F30" i="8" l="1"/>
  <c r="D87" i="7"/>
  <c r="D89" i="7" s="1"/>
  <c r="E21" i="12"/>
  <c r="I33" i="25"/>
  <c r="K33" i="25" s="1"/>
  <c r="J33" i="25"/>
  <c r="D34" i="25" s="1"/>
  <c r="H34" i="25" s="1"/>
  <c r="F34" i="25" s="1"/>
  <c r="C23" i="30"/>
  <c r="G18" i="30"/>
  <c r="G38" i="25"/>
  <c r="L37" i="25"/>
  <c r="J34" i="25"/>
  <c r="D35" i="25" s="1"/>
  <c r="H35" i="25" s="1"/>
  <c r="F35" i="25" s="1"/>
  <c r="I34" i="25" l="1"/>
  <c r="K34" i="25" s="1"/>
  <c r="E23" i="30"/>
  <c r="C27" i="30"/>
  <c r="G39" i="25"/>
  <c r="L38" i="25"/>
  <c r="J35" i="25"/>
  <c r="D36" i="25" s="1"/>
  <c r="H36" i="25" s="1"/>
  <c r="F36" i="25" s="1"/>
  <c r="I35" i="25"/>
  <c r="K35" i="25" s="1"/>
  <c r="F23" i="30" l="1"/>
  <c r="F27" i="30" s="1"/>
  <c r="E29" i="7" s="1"/>
  <c r="E27" i="30"/>
  <c r="G40" i="25"/>
  <c r="L39" i="25"/>
  <c r="J36" i="25"/>
  <c r="D37" i="25" s="1"/>
  <c r="H37" i="25" s="1"/>
  <c r="F37" i="25" s="1"/>
  <c r="I36" i="25"/>
  <c r="K36" i="25" s="1"/>
  <c r="F31" i="8" l="1"/>
  <c r="F32" i="8" s="1"/>
  <c r="E15" i="12"/>
  <c r="G23" i="30"/>
  <c r="G41" i="25"/>
  <c r="L40" i="25"/>
  <c r="J37" i="25"/>
  <c r="D38" i="25" s="1"/>
  <c r="H38" i="25" s="1"/>
  <c r="F38" i="25" s="1"/>
  <c r="I37" i="25"/>
  <c r="K37" i="25" s="1"/>
  <c r="G30" i="8" l="1"/>
  <c r="F21" i="12" s="1"/>
  <c r="E87" i="7"/>
  <c r="E89" i="7" s="1"/>
  <c r="C32" i="30"/>
  <c r="G27" i="30"/>
  <c r="G42" i="25"/>
  <c r="L41" i="25"/>
  <c r="J38" i="25"/>
  <c r="D39" i="25" s="1"/>
  <c r="H39" i="25" s="1"/>
  <c r="F39" i="25" s="1"/>
  <c r="I38" i="25"/>
  <c r="K38" i="25" s="1"/>
  <c r="E32" i="30" l="1"/>
  <c r="C36" i="30"/>
  <c r="G43" i="25"/>
  <c r="L42" i="25"/>
  <c r="J39" i="25"/>
  <c r="I39" i="25"/>
  <c r="K39" i="25" s="1"/>
  <c r="F32" i="30" l="1"/>
  <c r="F36" i="30" s="1"/>
  <c r="F29" i="7" s="1"/>
  <c r="E36" i="30"/>
  <c r="G44" i="25"/>
  <c r="L43" i="25"/>
  <c r="D40" i="25"/>
  <c r="H40" i="25" s="1"/>
  <c r="F40" i="25" s="1"/>
  <c r="G31" i="8" l="1"/>
  <c r="G32" i="8" s="1"/>
  <c r="F15" i="12"/>
  <c r="G32" i="30"/>
  <c r="G45" i="25"/>
  <c r="L44" i="25"/>
  <c r="I40" i="25"/>
  <c r="K40" i="25" s="1"/>
  <c r="J40" i="25"/>
  <c r="D41" i="25" s="1"/>
  <c r="H41" i="25" s="1"/>
  <c r="F41" i="25" s="1"/>
  <c r="H30" i="8" l="1"/>
  <c r="F87" i="7"/>
  <c r="F89" i="7" s="1"/>
  <c r="C41" i="30"/>
  <c r="G36" i="30"/>
  <c r="G46" i="25"/>
  <c r="L45" i="25"/>
  <c r="I41" i="25"/>
  <c r="K41" i="25" s="1"/>
  <c r="J41" i="25"/>
  <c r="E41" i="30" l="1"/>
  <c r="C45" i="30"/>
  <c r="E23" i="7"/>
  <c r="G21" i="12"/>
  <c r="D42" i="25"/>
  <c r="H42" i="25" s="1"/>
  <c r="F42" i="25" s="1"/>
  <c r="G47" i="25"/>
  <c r="L46" i="25"/>
  <c r="E64" i="7" l="1"/>
  <c r="E48" i="7"/>
  <c r="J42" i="25"/>
  <c r="D43" i="25" s="1"/>
  <c r="H43" i="25" s="1"/>
  <c r="F43" i="25" s="1"/>
  <c r="F41" i="30"/>
  <c r="E45" i="30"/>
  <c r="I42" i="25"/>
  <c r="K42" i="25" s="1"/>
  <c r="G48" i="25"/>
  <c r="L47" i="25"/>
  <c r="J43" i="25" l="1"/>
  <c r="D44" i="25" s="1"/>
  <c r="H44" i="25" s="1"/>
  <c r="F44" i="25" s="1"/>
  <c r="I43" i="25"/>
  <c r="K43" i="25" s="1"/>
  <c r="G41" i="30"/>
  <c r="F45" i="30"/>
  <c r="G29" i="7" s="1"/>
  <c r="G49" i="25"/>
  <c r="L48" i="25"/>
  <c r="J44" i="25" l="1"/>
  <c r="D45" i="25" s="1"/>
  <c r="H45" i="25" s="1"/>
  <c r="F45" i="25" s="1"/>
  <c r="I44" i="25"/>
  <c r="K44" i="25" s="1"/>
  <c r="C50" i="30"/>
  <c r="G45" i="30"/>
  <c r="H31" i="8"/>
  <c r="H32" i="8" s="1"/>
  <c r="G15" i="12"/>
  <c r="G50" i="25"/>
  <c r="L49" i="25"/>
  <c r="I30" i="8" l="1"/>
  <c r="G87" i="7"/>
  <c r="G89" i="7" s="1"/>
  <c r="J45" i="25"/>
  <c r="D46" i="25" s="1"/>
  <c r="H46" i="25" s="1"/>
  <c r="F46" i="25" s="1"/>
  <c r="I45" i="25"/>
  <c r="K45" i="25" s="1"/>
  <c r="H21" i="12"/>
  <c r="E50" i="30"/>
  <c r="C54" i="30"/>
  <c r="G51" i="25"/>
  <c r="L50" i="25"/>
  <c r="I46" i="25" l="1"/>
  <c r="J46" i="25"/>
  <c r="D47" i="25" s="1"/>
  <c r="H47" i="25" s="1"/>
  <c r="F47" i="25" s="1"/>
  <c r="K46" i="25"/>
  <c r="F50" i="30"/>
  <c r="F54" i="30" s="1"/>
  <c r="H29" i="7" s="1"/>
  <c r="E54" i="30"/>
  <c r="G52" i="25"/>
  <c r="L51" i="25"/>
  <c r="I47" i="25"/>
  <c r="J47" i="25" l="1"/>
  <c r="D48" i="25" s="1"/>
  <c r="H48" i="25" s="1"/>
  <c r="F48" i="25" s="1"/>
  <c r="K47" i="25"/>
  <c r="I31" i="8"/>
  <c r="I32" i="8" s="1"/>
  <c r="H15" i="12"/>
  <c r="G50" i="30"/>
  <c r="G53" i="25"/>
  <c r="L52" i="25"/>
  <c r="I48" i="25"/>
  <c r="J48" i="25"/>
  <c r="D49" i="25" s="1"/>
  <c r="H49" i="25" s="1"/>
  <c r="F49" i="25" s="1"/>
  <c r="J30" i="8" l="1"/>
  <c r="H87" i="7"/>
  <c r="H89" i="7" s="1"/>
  <c r="K48" i="25"/>
  <c r="C59" i="30"/>
  <c r="G54" i="30"/>
  <c r="G54" i="25"/>
  <c r="L53" i="25"/>
  <c r="I49" i="25"/>
  <c r="J49" i="25"/>
  <c r="D50" i="25" s="1"/>
  <c r="H50" i="25" s="1"/>
  <c r="F50" i="25" s="1"/>
  <c r="K49" i="25" l="1"/>
  <c r="E59" i="30"/>
  <c r="C63" i="30"/>
  <c r="I21" i="12"/>
  <c r="G55" i="25"/>
  <c r="L54" i="25"/>
  <c r="I50" i="25"/>
  <c r="J50" i="25"/>
  <c r="D51" i="25" s="1"/>
  <c r="H51" i="25" s="1"/>
  <c r="F51" i="25" s="1"/>
  <c r="K50" i="25" l="1"/>
  <c r="F59" i="30"/>
  <c r="F63" i="30" s="1"/>
  <c r="I29" i="7" s="1"/>
  <c r="E63" i="30"/>
  <c r="G56" i="25"/>
  <c r="L55" i="25"/>
  <c r="I51" i="25"/>
  <c r="J51" i="25"/>
  <c r="K51" i="25" l="1"/>
  <c r="J31" i="8"/>
  <c r="J32" i="8" s="1"/>
  <c r="I15" i="12"/>
  <c r="G59" i="30"/>
  <c r="G57" i="25"/>
  <c r="L56" i="25"/>
  <c r="D52" i="25"/>
  <c r="H52" i="25" s="1"/>
  <c r="F52" i="25" s="1"/>
  <c r="K30" i="8" l="1"/>
  <c r="I87" i="7"/>
  <c r="I89" i="7" s="1"/>
  <c r="C68" i="30"/>
  <c r="G63" i="30"/>
  <c r="G58" i="25"/>
  <c r="L57" i="25"/>
  <c r="I52" i="25"/>
  <c r="K52" i="25" s="1"/>
  <c r="J52" i="25"/>
  <c r="D53" i="25" s="1"/>
  <c r="H53" i="25" s="1"/>
  <c r="F53" i="25" s="1"/>
  <c r="E68" i="30" l="1"/>
  <c r="C72" i="30"/>
  <c r="J21" i="12"/>
  <c r="G59" i="25"/>
  <c r="L58" i="25"/>
  <c r="I53" i="25"/>
  <c r="K53" i="25" s="1"/>
  <c r="J53" i="25"/>
  <c r="F23" i="7" l="1"/>
  <c r="F68" i="30"/>
  <c r="F72" i="30" s="1"/>
  <c r="J29" i="7" s="1"/>
  <c r="E72" i="30"/>
  <c r="D54" i="25"/>
  <c r="H54" i="25" s="1"/>
  <c r="F54" i="25" s="1"/>
  <c r="G60" i="25"/>
  <c r="L59" i="25"/>
  <c r="F64" i="7" l="1"/>
  <c r="F48" i="7"/>
  <c r="J54" i="25"/>
  <c r="D55" i="25" s="1"/>
  <c r="H55" i="25" s="1"/>
  <c r="F55" i="25" s="1"/>
  <c r="K31" i="8"/>
  <c r="K32" i="8" s="1"/>
  <c r="J87" i="7" s="1"/>
  <c r="J89" i="7" s="1"/>
  <c r="J15" i="12"/>
  <c r="G68" i="30"/>
  <c r="G72" i="30" s="1"/>
  <c r="I54" i="25"/>
  <c r="K54" i="25" s="1"/>
  <c r="G61" i="25"/>
  <c r="L60" i="25"/>
  <c r="I55" i="25"/>
  <c r="J55" i="25"/>
  <c r="D56" i="25" s="1"/>
  <c r="H56" i="25" s="1"/>
  <c r="F56" i="25" s="1"/>
  <c r="K55" i="25" l="1"/>
  <c r="G62" i="25"/>
  <c r="L61" i="25"/>
  <c r="I56" i="25"/>
  <c r="J56" i="25"/>
  <c r="D57" i="25" s="1"/>
  <c r="H57" i="25" s="1"/>
  <c r="F57" i="25" s="1"/>
  <c r="K56" i="25" l="1"/>
  <c r="G63" i="25"/>
  <c r="L62" i="25"/>
  <c r="I57" i="25"/>
  <c r="J57" i="25"/>
  <c r="D58" i="25" s="1"/>
  <c r="H58" i="25" s="1"/>
  <c r="F58" i="25" s="1"/>
  <c r="K57" i="25" l="1"/>
  <c r="G64" i="25"/>
  <c r="L63" i="25"/>
  <c r="I58" i="25"/>
  <c r="J58" i="25"/>
  <c r="D59" i="25" s="1"/>
  <c r="H59" i="25" s="1"/>
  <c r="F59" i="25" s="1"/>
  <c r="K58" i="25" l="1"/>
  <c r="G65" i="25"/>
  <c r="L64" i="25"/>
  <c r="J59" i="25"/>
  <c r="D60" i="25" s="1"/>
  <c r="H60" i="25" s="1"/>
  <c r="F60" i="25" s="1"/>
  <c r="I59" i="25"/>
  <c r="K59" i="25" s="1"/>
  <c r="G66" i="25" l="1"/>
  <c r="L65" i="25"/>
  <c r="I60" i="25"/>
  <c r="K60" i="25" s="1"/>
  <c r="J60" i="25"/>
  <c r="D61" i="25" s="1"/>
  <c r="H61" i="25" s="1"/>
  <c r="F61" i="25" s="1"/>
  <c r="G67" i="25" l="1"/>
  <c r="L66" i="25"/>
  <c r="I61" i="25"/>
  <c r="K61" i="25" s="1"/>
  <c r="J61" i="25"/>
  <c r="D62" i="25" s="1"/>
  <c r="H62" i="25" s="1"/>
  <c r="F62" i="25" s="1"/>
  <c r="G68" i="25" l="1"/>
  <c r="L67" i="25"/>
  <c r="J62" i="25"/>
  <c r="D63" i="25" s="1"/>
  <c r="H63" i="25" s="1"/>
  <c r="F63" i="25" s="1"/>
  <c r="I62" i="25"/>
  <c r="K62" i="25" s="1"/>
  <c r="G69" i="25" l="1"/>
  <c r="L68" i="25"/>
  <c r="I63" i="25"/>
  <c r="J63" i="25"/>
  <c r="G70" i="25" l="1"/>
  <c r="K63" i="25"/>
  <c r="L69" i="25"/>
  <c r="D64" i="25"/>
  <c r="H64" i="25" s="1"/>
  <c r="F64" i="25" s="1"/>
  <c r="L70" i="25" l="1"/>
  <c r="G71" i="25"/>
  <c r="J64" i="25"/>
  <c r="D65" i="25" s="1"/>
  <c r="H65" i="25" s="1"/>
  <c r="F65" i="25" s="1"/>
  <c r="I64" i="25"/>
  <c r="K64" i="25" s="1"/>
  <c r="G72" i="25" l="1"/>
  <c r="L71" i="25"/>
  <c r="J65" i="25"/>
  <c r="I65" i="25"/>
  <c r="K65" i="25" s="1"/>
  <c r="G23" i="7" l="1"/>
  <c r="D66" i="25"/>
  <c r="H66" i="25" s="1"/>
  <c r="F66" i="25" s="1"/>
  <c r="G73" i="25"/>
  <c r="L72" i="25"/>
  <c r="G64" i="7" l="1"/>
  <c r="G48" i="7"/>
  <c r="I66" i="25"/>
  <c r="K66" i="25" s="1"/>
  <c r="J66" i="25"/>
  <c r="D67" i="25" s="1"/>
  <c r="H67" i="25" s="1"/>
  <c r="F67" i="25" s="1"/>
  <c r="G74" i="25"/>
  <c r="L73" i="25"/>
  <c r="J67" i="25" l="1"/>
  <c r="D68" i="25" s="1"/>
  <c r="H68" i="25" s="1"/>
  <c r="F68" i="25" s="1"/>
  <c r="I67" i="25"/>
  <c r="K67" i="25" s="1"/>
  <c r="G75" i="25"/>
  <c r="L74" i="25"/>
  <c r="I68" i="25"/>
  <c r="J68" i="25"/>
  <c r="D69" i="25" s="1"/>
  <c r="H69" i="25" s="1"/>
  <c r="F69" i="25" s="1"/>
  <c r="K68" i="25" l="1"/>
  <c r="G76" i="25"/>
  <c r="L75" i="25"/>
  <c r="I69" i="25"/>
  <c r="J69" i="25"/>
  <c r="D70" i="25" s="1"/>
  <c r="H70" i="25" s="1"/>
  <c r="F70" i="25" s="1"/>
  <c r="K69" i="25" l="1"/>
  <c r="G77" i="25"/>
  <c r="L76" i="25"/>
  <c r="J70" i="25"/>
  <c r="D71" i="25" s="1"/>
  <c r="H71" i="25" s="1"/>
  <c r="F71" i="25" s="1"/>
  <c r="I70" i="25"/>
  <c r="K70" i="25" l="1"/>
  <c r="G78" i="25"/>
  <c r="L77" i="25"/>
  <c r="I71" i="25"/>
  <c r="K71" i="25" s="1"/>
  <c r="J71" i="25"/>
  <c r="D72" i="25" s="1"/>
  <c r="H72" i="25" s="1"/>
  <c r="F72" i="25" s="1"/>
  <c r="G79" i="25" l="1"/>
  <c r="L78" i="25"/>
  <c r="I72" i="25"/>
  <c r="K72" i="25" s="1"/>
  <c r="J72" i="25"/>
  <c r="D73" i="25" s="1"/>
  <c r="H73" i="25" s="1"/>
  <c r="F73" i="25" s="1"/>
  <c r="G80" i="25" l="1"/>
  <c r="L79" i="25"/>
  <c r="I73" i="25"/>
  <c r="K73" i="25" s="1"/>
  <c r="J73" i="25"/>
  <c r="D74" i="25" s="1"/>
  <c r="H74" i="25" s="1"/>
  <c r="F74" i="25" s="1"/>
  <c r="G81" i="25" l="1"/>
  <c r="L80" i="25"/>
  <c r="I74" i="25"/>
  <c r="K74" i="25" s="1"/>
  <c r="J74" i="25"/>
  <c r="D75" i="25" s="1"/>
  <c r="H75" i="25" s="1"/>
  <c r="F75" i="25" s="1"/>
  <c r="G82" i="25" l="1"/>
  <c r="L81" i="25"/>
  <c r="I75" i="25"/>
  <c r="K75" i="25" s="1"/>
  <c r="J75" i="25"/>
  <c r="G83" i="25" l="1"/>
  <c r="L82" i="25"/>
  <c r="D76" i="25"/>
  <c r="H76" i="25" s="1"/>
  <c r="F76" i="25" s="1"/>
  <c r="G84" i="25" l="1"/>
  <c r="L83" i="25"/>
  <c r="J76" i="25"/>
  <c r="D77" i="25" s="1"/>
  <c r="H77" i="25" s="1"/>
  <c r="F77" i="25" s="1"/>
  <c r="I76" i="25"/>
  <c r="K76" i="25" s="1"/>
  <c r="G85" i="25" l="1"/>
  <c r="L84" i="25"/>
  <c r="I77" i="25"/>
  <c r="K77" i="25" s="1"/>
  <c r="J77" i="25"/>
  <c r="H23" i="7" l="1"/>
  <c r="D78" i="25"/>
  <c r="H78" i="25" s="1"/>
  <c r="F78" i="25" s="1"/>
  <c r="G86" i="25"/>
  <c r="L85" i="25"/>
  <c r="H64" i="7" l="1"/>
  <c r="H48" i="7"/>
  <c r="I78" i="25"/>
  <c r="K78" i="25" s="1"/>
  <c r="J78" i="25"/>
  <c r="D79" i="25" s="1"/>
  <c r="H79" i="25" s="1"/>
  <c r="F79" i="25" s="1"/>
  <c r="G87" i="25"/>
  <c r="L86" i="25"/>
  <c r="J79" i="25" l="1"/>
  <c r="D80" i="25" s="1"/>
  <c r="H80" i="25" s="1"/>
  <c r="F80" i="25" s="1"/>
  <c r="I79" i="25"/>
  <c r="K79" i="25" s="1"/>
  <c r="G88" i="25"/>
  <c r="L87" i="25"/>
  <c r="I80" i="25"/>
  <c r="K80" i="25" s="1"/>
  <c r="J80" i="25"/>
  <c r="D81" i="25" s="1"/>
  <c r="H81" i="25" s="1"/>
  <c r="F81" i="25" s="1"/>
  <c r="A10" i="9"/>
  <c r="A11" i="9" s="1"/>
  <c r="A15" i="9" s="1"/>
  <c r="A16" i="9" s="1"/>
  <c r="A17" i="9" s="1"/>
  <c r="A18" i="9" s="1"/>
  <c r="A19" i="9" s="1"/>
  <c r="A21" i="9" s="1"/>
  <c r="A22" i="9" s="1"/>
  <c r="A23" i="9" s="1"/>
  <c r="A24" i="9" s="1"/>
  <c r="A25" i="9" s="1"/>
  <c r="A26" i="9" s="1"/>
  <c r="A28" i="12"/>
  <c r="A29" i="12" s="1"/>
  <c r="G89" i="25" l="1"/>
  <c r="L88" i="25"/>
  <c r="I81" i="25"/>
  <c r="K81" i="25" s="1"/>
  <c r="J81" i="25"/>
  <c r="D82" i="25" s="1"/>
  <c r="H82" i="25" s="1"/>
  <c r="F82" i="25" s="1"/>
  <c r="A1" i="12"/>
  <c r="A1" i="9"/>
  <c r="L89" i="25" l="1"/>
  <c r="G90" i="25"/>
  <c r="J82" i="25"/>
  <c r="D83" i="25" s="1"/>
  <c r="H83" i="25" s="1"/>
  <c r="F83" i="25" s="1"/>
  <c r="I82" i="25"/>
  <c r="K82" i="25" s="1"/>
  <c r="G91" i="25" l="1"/>
  <c r="L90" i="25"/>
  <c r="I83" i="25"/>
  <c r="K83" i="25" s="1"/>
  <c r="J83" i="25"/>
  <c r="D84" i="25" s="1"/>
  <c r="D10" i="7"/>
  <c r="D20" i="7" s="1"/>
  <c r="D75" i="7" l="1"/>
  <c r="D11" i="7"/>
  <c r="G92" i="25"/>
  <c r="L91" i="25"/>
  <c r="H84" i="25"/>
  <c r="J84" i="25"/>
  <c r="D85" i="25" s="1"/>
  <c r="E10" i="7"/>
  <c r="E18" i="7" s="1"/>
  <c r="D21" i="7"/>
  <c r="D71" i="7" l="1"/>
  <c r="M11" i="7"/>
  <c r="E75" i="7"/>
  <c r="E77" i="7" s="1"/>
  <c r="E11" i="7"/>
  <c r="D79" i="7"/>
  <c r="D41" i="7"/>
  <c r="D35" i="7"/>
  <c r="H85" i="25"/>
  <c r="J85" i="25"/>
  <c r="D86" i="25" s="1"/>
  <c r="I84" i="25"/>
  <c r="K84" i="25" s="1"/>
  <c r="F84" i="25"/>
  <c r="G93" i="25"/>
  <c r="G94" i="25" s="1"/>
  <c r="L92" i="25"/>
  <c r="F10" i="7"/>
  <c r="F18" i="7" s="1"/>
  <c r="E71" i="7" l="1"/>
  <c r="N11" i="7"/>
  <c r="F75" i="7"/>
  <c r="F11" i="7"/>
  <c r="D85" i="7"/>
  <c r="D81" i="7"/>
  <c r="L93" i="25"/>
  <c r="I85" i="25"/>
  <c r="F85" i="25"/>
  <c r="J86" i="25"/>
  <c r="D87" i="25" s="1"/>
  <c r="H86" i="25"/>
  <c r="K85" i="25"/>
  <c r="G10" i="7"/>
  <c r="G18" i="7" s="1"/>
  <c r="F71" i="7" l="1"/>
  <c r="O11" i="7"/>
  <c r="G75" i="7"/>
  <c r="H77" i="7" s="1"/>
  <c r="G11" i="7"/>
  <c r="F77" i="7"/>
  <c r="I86" i="25"/>
  <c r="K86" i="25" s="1"/>
  <c r="F86" i="25"/>
  <c r="H87" i="25"/>
  <c r="J87" i="25"/>
  <c r="D88" i="25" s="1"/>
  <c r="G71" i="7" l="1"/>
  <c r="P11" i="7"/>
  <c r="G77" i="7"/>
  <c r="H88" i="25"/>
  <c r="J88" i="25"/>
  <c r="D89" i="25" s="1"/>
  <c r="I87" i="25"/>
  <c r="K87" i="25" s="1"/>
  <c r="F87" i="25"/>
  <c r="I88" i="25" l="1"/>
  <c r="K88" i="25" s="1"/>
  <c r="F88" i="25"/>
  <c r="H89" i="25"/>
  <c r="J89" i="25"/>
  <c r="D90" i="25" l="1"/>
  <c r="H90" i="25" s="1"/>
  <c r="I89" i="25"/>
  <c r="K89" i="25" s="1"/>
  <c r="F89" i="25"/>
  <c r="E19" i="9"/>
  <c r="I23" i="7" l="1"/>
  <c r="J90" i="25"/>
  <c r="D91" i="25" s="1"/>
  <c r="J91" i="25" s="1"/>
  <c r="D92" i="25" s="1"/>
  <c r="I90" i="25"/>
  <c r="K90" i="25" s="1"/>
  <c r="F90" i="25"/>
  <c r="I64" i="7" l="1"/>
  <c r="I48" i="7"/>
  <c r="H91" i="25"/>
  <c r="I91" i="25" s="1"/>
  <c r="K91" i="25" s="1"/>
  <c r="H92" i="25"/>
  <c r="J92" i="25"/>
  <c r="D93" i="25" s="1"/>
  <c r="F91" i="25" l="1"/>
  <c r="I92" i="25"/>
  <c r="K92" i="25" s="1"/>
  <c r="F92" i="25"/>
  <c r="H93" i="25"/>
  <c r="H94" i="25" s="1"/>
  <c r="J93" i="25"/>
  <c r="K16" i="8" s="1"/>
  <c r="K24" i="8" s="1"/>
  <c r="K25" i="8" s="1"/>
  <c r="J16" i="12" s="1"/>
  <c r="I93" i="25" l="1"/>
  <c r="K93" i="25" s="1"/>
  <c r="J23" i="7" s="1"/>
  <c r="F93" i="25"/>
  <c r="F94" i="25" s="1"/>
  <c r="J64" i="7" l="1"/>
  <c r="J48" i="7"/>
  <c r="J13" i="12"/>
  <c r="G19" i="9" l="1"/>
  <c r="J19" i="9"/>
  <c r="F19" i="9"/>
  <c r="H19" i="9"/>
  <c r="I19" i="9"/>
  <c r="G55" i="26" l="1"/>
  <c r="F55" i="26"/>
  <c r="H55" i="26"/>
  <c r="I55" i="26"/>
  <c r="K55" i="26"/>
  <c r="J15" i="7" s="1"/>
  <c r="K43" i="26" l="1"/>
  <c r="G43" i="26"/>
  <c r="F15" i="7"/>
  <c r="F43" i="26"/>
  <c r="E15" i="7"/>
  <c r="H43" i="26"/>
  <c r="G15" i="7"/>
  <c r="I43" i="26"/>
  <c r="H15" i="7"/>
  <c r="J55" i="26"/>
  <c r="I15" i="7" s="1"/>
  <c r="G8" i="9" l="1"/>
  <c r="H8" i="9"/>
  <c r="K8" i="9"/>
  <c r="I8" i="9"/>
  <c r="F8" i="9"/>
  <c r="I40" i="26"/>
  <c r="I82" i="26" s="1"/>
  <c r="G40" i="26"/>
  <c r="G82" i="26" s="1"/>
  <c r="E14" i="7"/>
  <c r="E19" i="7" s="1"/>
  <c r="H40" i="26"/>
  <c r="H82" i="26" s="1"/>
  <c r="F82" i="26"/>
  <c r="J43" i="26"/>
  <c r="J40" i="26"/>
  <c r="E21" i="7" l="1"/>
  <c r="E35" i="7" s="1"/>
  <c r="E20" i="7"/>
  <c r="F14" i="7"/>
  <c r="F19" i="7" s="1"/>
  <c r="J82" i="26"/>
  <c r="K40" i="26"/>
  <c r="I14" i="7"/>
  <c r="I19" i="7" s="1"/>
  <c r="G14" i="7"/>
  <c r="G19" i="7" s="1"/>
  <c r="H14" i="7"/>
  <c r="H19" i="7" s="1"/>
  <c r="E41" i="7" l="1"/>
  <c r="E79" i="7"/>
  <c r="E81" i="7" s="1"/>
  <c r="H21" i="7"/>
  <c r="H41" i="7" s="1"/>
  <c r="H20" i="7"/>
  <c r="F21" i="7"/>
  <c r="F41" i="7" s="1"/>
  <c r="F20" i="7"/>
  <c r="G21" i="7"/>
  <c r="G35" i="7" s="1"/>
  <c r="G20" i="7"/>
  <c r="I21" i="7"/>
  <c r="I79" i="7" s="1"/>
  <c r="I20" i="7"/>
  <c r="H79" i="7"/>
  <c r="J8" i="9"/>
  <c r="K82" i="26"/>
  <c r="J14" i="7"/>
  <c r="J19" i="7" s="1"/>
  <c r="E85" i="7" l="1"/>
  <c r="G41" i="7"/>
  <c r="G79" i="7"/>
  <c r="G85" i="7" s="1"/>
  <c r="H35" i="7"/>
  <c r="F35" i="7"/>
  <c r="F79" i="7"/>
  <c r="F81" i="7" s="1"/>
  <c r="I41" i="7"/>
  <c r="I35" i="7"/>
  <c r="J21" i="7"/>
  <c r="J41" i="7" s="1"/>
  <c r="J20" i="7"/>
  <c r="G81" i="7"/>
  <c r="H81" i="7"/>
  <c r="H85" i="7"/>
  <c r="I81" i="7"/>
  <c r="I85" i="7"/>
  <c r="D26" i="7"/>
  <c r="D12" i="12"/>
  <c r="F85" i="7" l="1"/>
  <c r="J79" i="7"/>
  <c r="J81" i="7" s="1"/>
  <c r="C95" i="7" s="1"/>
  <c r="J35" i="7"/>
  <c r="D28" i="7"/>
  <c r="D93" i="7"/>
  <c r="D37" i="7"/>
  <c r="J85" i="7" l="1"/>
  <c r="D30" i="7"/>
  <c r="D62" i="7"/>
  <c r="D68" i="7" s="1"/>
  <c r="D91" i="7" s="1"/>
  <c r="D31" i="7" l="1"/>
  <c r="D32" i="7" s="1"/>
  <c r="D46" i="7" l="1"/>
  <c r="D50" i="7" s="1"/>
  <c r="D52" i="7" s="1"/>
  <c r="D56" i="7" s="1"/>
  <c r="D59" i="7" s="1"/>
  <c r="E27" i="8"/>
  <c r="D31" i="12"/>
  <c r="E11" i="9"/>
  <c r="E27" i="12"/>
  <c r="D10" i="12" l="1"/>
  <c r="F11" i="9"/>
  <c r="F12" i="9" s="1"/>
  <c r="F31" i="9" s="1"/>
  <c r="E31" i="12"/>
  <c r="F48" i="8"/>
  <c r="F49" i="8" l="1"/>
  <c r="F31" i="12"/>
  <c r="G48" i="8"/>
  <c r="F24" i="12" s="1"/>
  <c r="F25" i="12" s="1"/>
  <c r="G11" i="9"/>
  <c r="G12" i="9" s="1"/>
  <c r="G31" i="9" s="1"/>
  <c r="F23" i="9"/>
  <c r="F21" i="9"/>
  <c r="F22" i="9"/>
  <c r="G49" i="8" l="1"/>
  <c r="F25" i="9"/>
  <c r="F24" i="9"/>
  <c r="G21" i="9"/>
  <c r="G22" i="9"/>
  <c r="G23" i="9"/>
  <c r="H48" i="8"/>
  <c r="G24" i="12" s="1"/>
  <c r="G25" i="12" s="1"/>
  <c r="G31" i="12"/>
  <c r="H11" i="9"/>
  <c r="H12" i="9" s="1"/>
  <c r="H31" i="9" s="1"/>
  <c r="F26" i="9" l="1"/>
  <c r="E24" i="7"/>
  <c r="E26" i="7" s="1"/>
  <c r="E12" i="12"/>
  <c r="H49" i="8"/>
  <c r="H23" i="9"/>
  <c r="H21" i="9"/>
  <c r="H22" i="9"/>
  <c r="G24" i="9"/>
  <c r="G25" i="9"/>
  <c r="I48" i="8"/>
  <c r="H24" i="12" s="1"/>
  <c r="H25" i="12" s="1"/>
  <c r="I11" i="9"/>
  <c r="I12" i="9" s="1"/>
  <c r="I31" i="9" s="1"/>
  <c r="H31" i="12"/>
  <c r="E28" i="7" l="1"/>
  <c r="E93" i="7"/>
  <c r="E37" i="7"/>
  <c r="I49" i="8"/>
  <c r="G26" i="9"/>
  <c r="J11" i="9"/>
  <c r="J12" i="9" s="1"/>
  <c r="J31" i="9" s="1"/>
  <c r="I31" i="12"/>
  <c r="J48" i="8"/>
  <c r="I24" i="12" s="1"/>
  <c r="I25" i="12" s="1"/>
  <c r="I22" i="9"/>
  <c r="I23" i="9"/>
  <c r="I21" i="9"/>
  <c r="H24" i="9"/>
  <c r="H25" i="9"/>
  <c r="E30" i="7" l="1"/>
  <c r="E62" i="7"/>
  <c r="E68" i="7" s="1"/>
  <c r="E91" i="7" s="1"/>
  <c r="F24" i="7"/>
  <c r="F26" i="7" s="1"/>
  <c r="F12" i="12"/>
  <c r="J49" i="8"/>
  <c r="H26" i="9"/>
  <c r="K11" i="9"/>
  <c r="K12" i="9" s="1"/>
  <c r="K31" i="9" s="1"/>
  <c r="K48" i="8"/>
  <c r="J24" i="12" s="1"/>
  <c r="J25" i="12" s="1"/>
  <c r="J31" i="12"/>
  <c r="J22" i="9"/>
  <c r="J23" i="9"/>
  <c r="J21" i="9"/>
  <c r="I25" i="9"/>
  <c r="I24" i="9"/>
  <c r="E31" i="7" l="1"/>
  <c r="E32" i="7" s="1"/>
  <c r="F28" i="7"/>
  <c r="F37" i="7"/>
  <c r="F93" i="7"/>
  <c r="G24" i="7"/>
  <c r="G26" i="7" s="1"/>
  <c r="G12" i="12"/>
  <c r="K49" i="8"/>
  <c r="I26" i="9"/>
  <c r="J24" i="9"/>
  <c r="J25" i="9"/>
  <c r="K23" i="9"/>
  <c r="K21" i="9"/>
  <c r="K22" i="9"/>
  <c r="E46" i="7" l="1"/>
  <c r="E50" i="7" s="1"/>
  <c r="E52" i="7" s="1"/>
  <c r="E56" i="7" s="1"/>
  <c r="E59" i="7" s="1"/>
  <c r="E10" i="12"/>
  <c r="E18" i="12" s="1"/>
  <c r="G28" i="7"/>
  <c r="G37" i="7"/>
  <c r="G93" i="7"/>
  <c r="F30" i="7"/>
  <c r="F62" i="7"/>
  <c r="F68" i="7" s="1"/>
  <c r="F91" i="7" s="1"/>
  <c r="H24" i="7"/>
  <c r="H26" i="7" s="1"/>
  <c r="H12" i="12"/>
  <c r="K24" i="9"/>
  <c r="K25" i="9"/>
  <c r="J26" i="9"/>
  <c r="F27" i="8" l="1"/>
  <c r="F50" i="8" s="1"/>
  <c r="F31" i="7"/>
  <c r="F32" i="7" s="1"/>
  <c r="H28" i="7"/>
  <c r="H93" i="7"/>
  <c r="H37" i="7"/>
  <c r="G30" i="7"/>
  <c r="G62" i="7"/>
  <c r="G68" i="7" s="1"/>
  <c r="G91" i="7" s="1"/>
  <c r="I24" i="7"/>
  <c r="I26" i="7" s="1"/>
  <c r="I12" i="12"/>
  <c r="K26" i="9"/>
  <c r="C13" i="12"/>
  <c r="D25" i="8"/>
  <c r="F51" i="8" l="1"/>
  <c r="F10" i="12"/>
  <c r="F18" i="12" s="1"/>
  <c r="F28" i="12" s="1"/>
  <c r="F46" i="7"/>
  <c r="F50" i="7" s="1"/>
  <c r="F52" i="7" s="1"/>
  <c r="F56" i="7" s="1"/>
  <c r="F59" i="7" s="1"/>
  <c r="G31" i="7"/>
  <c r="G32" i="7" s="1"/>
  <c r="D16" i="12"/>
  <c r="D18" i="12" s="1"/>
  <c r="C16" i="12"/>
  <c r="I28" i="7"/>
  <c r="I93" i="7"/>
  <c r="I37" i="7"/>
  <c r="H30" i="7"/>
  <c r="H62" i="7"/>
  <c r="H68" i="7" s="1"/>
  <c r="H91" i="7" s="1"/>
  <c r="J24" i="7"/>
  <c r="J26" i="7" s="1"/>
  <c r="J12" i="12"/>
  <c r="C18" i="12"/>
  <c r="C28" i="12" s="1"/>
  <c r="C29" i="12" s="1"/>
  <c r="D27" i="8"/>
  <c r="D19" i="9"/>
  <c r="G27" i="8" l="1"/>
  <c r="G51" i="8" s="1"/>
  <c r="G46" i="7"/>
  <c r="G50" i="7" s="1"/>
  <c r="G52" i="7" s="1"/>
  <c r="G56" i="7" s="1"/>
  <c r="G59" i="7" s="1"/>
  <c r="H27" i="8"/>
  <c r="H50" i="8" s="1"/>
  <c r="H31" i="7"/>
  <c r="H32" i="7" s="1"/>
  <c r="G50" i="8"/>
  <c r="J28" i="7"/>
  <c r="J93" i="7"/>
  <c r="F96" i="7" s="1"/>
  <c r="J37" i="7"/>
  <c r="I30" i="7"/>
  <c r="I62" i="7"/>
  <c r="I68" i="7" s="1"/>
  <c r="I91" i="7" s="1"/>
  <c r="D47" i="8"/>
  <c r="D11" i="9" s="1"/>
  <c r="G10" i="12" l="1"/>
  <c r="G18" i="12" s="1"/>
  <c r="G28" i="12" s="1"/>
  <c r="H46" i="7"/>
  <c r="H50" i="7" s="1"/>
  <c r="H52" i="7" s="1"/>
  <c r="H56" i="7" s="1"/>
  <c r="H59" i="7" s="1"/>
  <c r="H10" i="12"/>
  <c r="H18" i="12" s="1"/>
  <c r="H28" i="12" s="1"/>
  <c r="I31" i="7"/>
  <c r="I32" i="7" s="1"/>
  <c r="I46" i="7" s="1"/>
  <c r="I50" i="7" s="1"/>
  <c r="I52" i="7" s="1"/>
  <c r="I56" i="7" s="1"/>
  <c r="I59" i="7" s="1"/>
  <c r="J30" i="7"/>
  <c r="J62" i="7"/>
  <c r="J68" i="7" s="1"/>
  <c r="J91" i="7" s="1"/>
  <c r="C96" i="7" s="1"/>
  <c r="C31" i="12"/>
  <c r="C32" i="12" s="1"/>
  <c r="D48" i="8"/>
  <c r="D49" i="8" s="1"/>
  <c r="D50" i="8" s="1"/>
  <c r="D27" i="12"/>
  <c r="D12" i="9"/>
  <c r="I27" i="8" l="1"/>
  <c r="I50" i="8" s="1"/>
  <c r="J27" i="8"/>
  <c r="J50" i="8" s="1"/>
  <c r="J31" i="7"/>
  <c r="J32" i="7" s="1"/>
  <c r="J46" i="7" s="1"/>
  <c r="J50" i="7" s="1"/>
  <c r="J52" i="7" s="1"/>
  <c r="J56" i="7" s="1"/>
  <c r="J59" i="7" s="1"/>
  <c r="D23" i="9"/>
  <c r="D21" i="9"/>
  <c r="D22" i="9"/>
  <c r="I10" i="12" l="1"/>
  <c r="I18" i="12" s="1"/>
  <c r="I28" i="12" s="1"/>
  <c r="K27" i="8"/>
  <c r="K50" i="8" s="1"/>
  <c r="D24" i="9"/>
  <c r="D25" i="9"/>
  <c r="J10" i="12" l="1"/>
  <c r="J18" i="12" s="1"/>
  <c r="J28" i="12" s="1"/>
  <c r="D26" i="9"/>
  <c r="E48" i="8"/>
  <c r="E49" i="8" s="1"/>
  <c r="E50" i="8" s="1"/>
  <c r="E9" i="9"/>
  <c r="E12" i="9" s="1"/>
  <c r="E31" i="9" s="1"/>
  <c r="E23" i="9" l="1"/>
  <c r="E21" i="9"/>
  <c r="E22" i="9"/>
  <c r="E51" i="8"/>
  <c r="D24" i="12"/>
  <c r="D25" i="12" s="1"/>
  <c r="D28" i="12" s="1"/>
  <c r="D29" i="12" s="1"/>
  <c r="D32" i="12" s="1"/>
  <c r="E24" i="12"/>
  <c r="E25" i="12" s="1"/>
  <c r="E28" i="12" s="1"/>
  <c r="E29" i="12" s="1"/>
  <c r="F27" i="12" l="1"/>
  <c r="F29" i="12" s="1"/>
  <c r="E32" i="12"/>
  <c r="E24" i="9"/>
  <c r="E25" i="9"/>
  <c r="E26" i="9" l="1"/>
  <c r="G27" i="12"/>
  <c r="G29" i="12" s="1"/>
  <c r="F32" i="12"/>
  <c r="G32" i="12" l="1"/>
  <c r="H27" i="12"/>
  <c r="H29" i="12" s="1"/>
  <c r="I27" i="12" l="1"/>
  <c r="I29" i="12" s="1"/>
  <c r="H32" i="12"/>
  <c r="J27" i="12" l="1"/>
  <c r="J29" i="12" s="1"/>
  <c r="J32" i="12" s="1"/>
  <c r="I32" i="12"/>
</calcChain>
</file>

<file path=xl/sharedStrings.xml><?xml version="1.0" encoding="utf-8"?>
<sst xmlns="http://schemas.openxmlformats.org/spreadsheetml/2006/main" count="615" uniqueCount="345">
  <si>
    <t>Total</t>
  </si>
  <si>
    <t>Term Loan</t>
  </si>
  <si>
    <t>2021-22</t>
  </si>
  <si>
    <t>Particulars</t>
  </si>
  <si>
    <t>A.</t>
  </si>
  <si>
    <t>Total Income</t>
  </si>
  <si>
    <t xml:space="preserve"> Total Income</t>
  </si>
  <si>
    <t>B.</t>
  </si>
  <si>
    <t>Total Expenditure</t>
  </si>
  <si>
    <t>C.</t>
  </si>
  <si>
    <t>D.</t>
  </si>
  <si>
    <t>E.</t>
  </si>
  <si>
    <t>Profit before Depreciation &amp; Tax</t>
  </si>
  <si>
    <t>Depreciation</t>
  </si>
  <si>
    <t>F.</t>
  </si>
  <si>
    <t>Profit before Tax</t>
  </si>
  <si>
    <t>Profit for the year</t>
  </si>
  <si>
    <t>Sources of fund</t>
  </si>
  <si>
    <t xml:space="preserve">Capital </t>
  </si>
  <si>
    <t>Loan Fund</t>
  </si>
  <si>
    <t>Bank OD</t>
  </si>
  <si>
    <t>Current Liabilites</t>
  </si>
  <si>
    <t>Sundry Creditors</t>
  </si>
  <si>
    <t>Other Current Liabilities</t>
  </si>
  <si>
    <t>Total current Liabilities</t>
  </si>
  <si>
    <t>Total (A)</t>
  </si>
  <si>
    <t>Application of fund</t>
  </si>
  <si>
    <t>Current Assets</t>
  </si>
  <si>
    <t>Total current assets</t>
  </si>
  <si>
    <t>Total (B)</t>
  </si>
  <si>
    <t>Opening Balance</t>
  </si>
  <si>
    <t>Surplus</t>
  </si>
  <si>
    <t>Closing Balance</t>
  </si>
  <si>
    <t>S. No.</t>
  </si>
  <si>
    <t>Margin</t>
  </si>
  <si>
    <t>CURRENT ASSETS</t>
  </si>
  <si>
    <t>Sundry Debtors</t>
  </si>
  <si>
    <t>Cash and Bank balance</t>
  </si>
  <si>
    <t>Total Current Assets</t>
  </si>
  <si>
    <t>CURRENT LIABILITIES</t>
  </si>
  <si>
    <t>Other current Liabilites</t>
  </si>
  <si>
    <t>Bank Borrowings</t>
  </si>
  <si>
    <t>Total Current Liabilities</t>
  </si>
  <si>
    <t>Working Capital Gap</t>
  </si>
  <si>
    <t>Minimum Margin</t>
  </si>
  <si>
    <t>Actual Working Capital Margin/ NWC</t>
  </si>
  <si>
    <t>MPBF</t>
  </si>
  <si>
    <t>Months</t>
  </si>
  <si>
    <t>Month</t>
  </si>
  <si>
    <t>Year</t>
  </si>
  <si>
    <t>Other Current Assets</t>
  </si>
  <si>
    <t>Turnover</t>
  </si>
  <si>
    <t xml:space="preserve">Profit before Interest, Tax &amp; Depreciation </t>
  </si>
  <si>
    <t>PROJECTED BALANCE SHEET</t>
  </si>
  <si>
    <t>Increase in Bank limit</t>
  </si>
  <si>
    <t>PROJECTED STATEMENT OF PROFIT AND LOSS</t>
  </si>
  <si>
    <t>2022-23</t>
  </si>
  <si>
    <t>(Projected)</t>
  </si>
  <si>
    <t>Expenditure</t>
  </si>
  <si>
    <t>2023-24</t>
  </si>
  <si>
    <t>2024-25</t>
  </si>
  <si>
    <t>2025-26</t>
  </si>
  <si>
    <t>Increase in capital</t>
  </si>
  <si>
    <t>Net increase in current liabilities/ decrease in current assets</t>
  </si>
  <si>
    <t>Current maturity of long term debt</t>
  </si>
  <si>
    <t xml:space="preserve">WORKING CAPITAL AND MPBF CALCULATION </t>
  </si>
  <si>
    <t>ASSETS</t>
  </si>
  <si>
    <t>EQUITY AND LIABILITIES</t>
  </si>
  <si>
    <t>Reserves &amp; Surplus</t>
  </si>
  <si>
    <t>Cost of material consumed</t>
  </si>
  <si>
    <t xml:space="preserve">Other Income </t>
  </si>
  <si>
    <t>Administrative expense (inlcuding salaries and wages)</t>
  </si>
  <si>
    <t>Owners' fund</t>
  </si>
  <si>
    <t>Current Maturity of long term debt</t>
  </si>
  <si>
    <t>Increase in reserves</t>
  </si>
  <si>
    <t>Item 10 minus 11</t>
  </si>
  <si>
    <t>Item 10 minus 12</t>
  </si>
  <si>
    <t>Increase in unsecured loan from shareholders</t>
  </si>
  <si>
    <t>Repayment of current maturity</t>
  </si>
  <si>
    <t>2026-27</t>
  </si>
  <si>
    <t>EMI</t>
  </si>
  <si>
    <t>2027-28</t>
  </si>
  <si>
    <t>Purchase of Fixed Assets</t>
  </si>
  <si>
    <t>Increase in term loan</t>
  </si>
  <si>
    <t>1a</t>
  </si>
  <si>
    <t>1b</t>
  </si>
  <si>
    <t>Change in inventory of WIP and Finished Goods</t>
  </si>
  <si>
    <t>Unsecured loan from Related Parties</t>
  </si>
  <si>
    <t>Total Interest</t>
  </si>
  <si>
    <t>Interest on</t>
  </si>
  <si>
    <t>Term Loans</t>
  </si>
  <si>
    <t>Working Capital</t>
  </si>
  <si>
    <t>Gross Block</t>
  </si>
  <si>
    <t>Net Block</t>
  </si>
  <si>
    <t>TERM LOAN REPAYMENT SCHEDULE :</t>
  </si>
  <si>
    <t>TL</t>
  </si>
  <si>
    <t>INSTALMENTS</t>
  </si>
  <si>
    <t>New Term Loan :</t>
  </si>
  <si>
    <t>RS. IN LACS</t>
  </si>
  <si>
    <t>Interest Rate</t>
  </si>
  <si>
    <t>INTEREST RATE</t>
  </si>
  <si>
    <t>Principle Per Month</t>
  </si>
  <si>
    <t>Interest Per Month</t>
  </si>
  <si>
    <t xml:space="preserve">Interest payment </t>
  </si>
  <si>
    <t>Annual Interest</t>
  </si>
  <si>
    <t>Annual Repayment</t>
  </si>
  <si>
    <t>Provision for Taxation</t>
  </si>
  <si>
    <t>Receivables</t>
  </si>
  <si>
    <t>Increase in Non Curremt Assets</t>
  </si>
  <si>
    <t>May</t>
  </si>
  <si>
    <t>Aug</t>
  </si>
  <si>
    <t>Sep</t>
  </si>
  <si>
    <t>Oct</t>
  </si>
  <si>
    <t>Nov</t>
  </si>
  <si>
    <t>Dec</t>
  </si>
  <si>
    <t>Jan</t>
  </si>
  <si>
    <t>Feb</t>
  </si>
  <si>
    <t>Mar</t>
  </si>
  <si>
    <t xml:space="preserve">Sales and Marketing </t>
  </si>
  <si>
    <t>Other interest</t>
  </si>
  <si>
    <t>Loans and Advances</t>
  </si>
  <si>
    <t>Amount in Lacs</t>
  </si>
  <si>
    <t>Revenue Assumption</t>
  </si>
  <si>
    <t>PRODUCTION CAPACITY</t>
  </si>
  <si>
    <t>Capacity Per Shift</t>
  </si>
  <si>
    <t>in MT</t>
  </si>
  <si>
    <t>No of Shift in a day</t>
  </si>
  <si>
    <t>No of day in a month</t>
  </si>
  <si>
    <t>No of Month in a year</t>
  </si>
  <si>
    <t>Total capacity p.a.</t>
  </si>
  <si>
    <t>Capacity utilisation</t>
  </si>
  <si>
    <t>Total Production in the year</t>
  </si>
  <si>
    <t>MT</t>
  </si>
  <si>
    <t>TURNOVER</t>
  </si>
  <si>
    <t>Rs. per MT</t>
  </si>
  <si>
    <t>Rs. in Lacs</t>
  </si>
  <si>
    <t>COST OF PRODUCTION</t>
  </si>
  <si>
    <t>Production</t>
  </si>
  <si>
    <t>Labour Charges</t>
  </si>
  <si>
    <t>Labour Expenses</t>
  </si>
  <si>
    <t>Power &amp; Fuel</t>
  </si>
  <si>
    <t>Charges</t>
  </si>
  <si>
    <t>Power &amp; Fuel Expenses</t>
  </si>
  <si>
    <t>Isabgol Project</t>
  </si>
  <si>
    <t>Land 16 bigha</t>
  </si>
  <si>
    <t xml:space="preserve">Conversion </t>
  </si>
  <si>
    <t xml:space="preserve">Construction </t>
  </si>
  <si>
    <t>Plant and machinary</t>
  </si>
  <si>
    <t>Furniture and fixtures</t>
  </si>
  <si>
    <t>Cost of Project</t>
  </si>
  <si>
    <t>Means of Finance</t>
  </si>
  <si>
    <t xml:space="preserve"> Term Loan</t>
  </si>
  <si>
    <t>SADASHIVA PSYLLIUM PRIVATE LIMITED</t>
  </si>
  <si>
    <t>Amount (Rs. in Lakhs)</t>
  </si>
  <si>
    <t>KG</t>
  </si>
  <si>
    <t>in KG</t>
  </si>
  <si>
    <t>Raw Material Consumption</t>
  </si>
  <si>
    <t>Rate of Raw Material per KG</t>
  </si>
  <si>
    <t>in Rs.</t>
  </si>
  <si>
    <t>Total Consumption in the year</t>
  </si>
  <si>
    <t>Selling price</t>
  </si>
  <si>
    <t>Rs/KG</t>
  </si>
  <si>
    <t>Consumption of Raw material</t>
  </si>
  <si>
    <t>Opening Stock</t>
  </si>
  <si>
    <t>Closing Stock</t>
  </si>
  <si>
    <t>Opening stock Raw material</t>
  </si>
  <si>
    <t>Purchase</t>
  </si>
  <si>
    <t>Sales Qty</t>
  </si>
  <si>
    <t>2028-29</t>
  </si>
  <si>
    <t>Sales Value Isabgol</t>
  </si>
  <si>
    <t>RS/KG</t>
  </si>
  <si>
    <t>Sale Value</t>
  </si>
  <si>
    <t>in Rs</t>
  </si>
  <si>
    <t>in Rs lac</t>
  </si>
  <si>
    <t xml:space="preserve">Catel Feed Production </t>
  </si>
  <si>
    <t>Opening stock</t>
  </si>
  <si>
    <t>Closing stock</t>
  </si>
  <si>
    <t>Total Sales</t>
  </si>
  <si>
    <t>Direct Exp</t>
  </si>
  <si>
    <t>Date</t>
  </si>
  <si>
    <t>Interest</t>
  </si>
  <si>
    <t>Principal repayment</t>
  </si>
  <si>
    <t>SR. No.</t>
  </si>
  <si>
    <t>Loan Amount</t>
  </si>
  <si>
    <t>amt in lacs</t>
  </si>
  <si>
    <t>ROI</t>
  </si>
  <si>
    <t>Moratorium</t>
  </si>
  <si>
    <t>Tenure</t>
  </si>
  <si>
    <t>Apr</t>
  </si>
  <si>
    <t>Jun</t>
  </si>
  <si>
    <t>Jul</t>
  </si>
  <si>
    <t>Land 16 bhiga</t>
  </si>
  <si>
    <t>Additions</t>
  </si>
  <si>
    <t>Plant and Machinery</t>
  </si>
  <si>
    <t>Furnitures and Fixtures</t>
  </si>
  <si>
    <t>Building</t>
  </si>
  <si>
    <t>Buoundary wall and utilities</t>
  </si>
  <si>
    <t>FY 2022-23</t>
  </si>
  <si>
    <t>Depreciation@15%</t>
  </si>
  <si>
    <t>Closing WDV</t>
  </si>
  <si>
    <t>FY 2023-24</t>
  </si>
  <si>
    <t>FY 2024-25</t>
  </si>
  <si>
    <t>FY 2025-26</t>
  </si>
  <si>
    <t>FY 2026-27</t>
  </si>
  <si>
    <t>FY 2027-28</t>
  </si>
  <si>
    <t>FY 2028-29</t>
  </si>
  <si>
    <t>Fixed Assets and Depreciation Chart</t>
  </si>
  <si>
    <t>Tenure (in months) - 84</t>
  </si>
  <si>
    <t>Inventories - WIP</t>
  </si>
  <si>
    <t>Inventories - Finished Goods</t>
  </si>
  <si>
    <t>Inventory (WIP)</t>
  </si>
  <si>
    <t>Inventory (Finished Goods)</t>
  </si>
  <si>
    <t>Subsidy receivable from govt</t>
  </si>
  <si>
    <t>FY 2021-22</t>
  </si>
  <si>
    <t>USL</t>
  </si>
  <si>
    <t>Capital</t>
  </si>
  <si>
    <t>Increase in Curremt Assets</t>
  </si>
  <si>
    <t>Other Current assets</t>
  </si>
  <si>
    <t>Bank balance</t>
  </si>
  <si>
    <t xml:space="preserve"> </t>
  </si>
  <si>
    <t>sales</t>
  </si>
  <si>
    <t xml:space="preserve">Land 16 bhiga </t>
  </si>
  <si>
    <t>Boundary Wall and Road</t>
  </si>
  <si>
    <t xml:space="preserve">Unsecured loans </t>
  </si>
  <si>
    <t>Advances to suppliers of raw materials, stores and spares</t>
  </si>
  <si>
    <t>Rs in Lacs</t>
  </si>
  <si>
    <t>Advance payment of Taxes</t>
  </si>
  <si>
    <t>GST\VAT Recoverable</t>
  </si>
  <si>
    <t>M/s SADASHIVA PSYLLIUM PRIVATE LIMITED</t>
  </si>
  <si>
    <t xml:space="preserve">PROJECTED CASHFLOW STATEMENT </t>
  </si>
  <si>
    <r>
      <t>Total</t>
    </r>
    <r>
      <rPr>
        <sz val="10"/>
        <color theme="0"/>
        <rFont val="Calibri"/>
        <family val="2"/>
        <scheme val="minor"/>
      </rPr>
      <t> </t>
    </r>
  </si>
  <si>
    <t>https://www.ijcmas.com/9-12-2020/S.%20D.%20Katke,%20et%20al.pdf</t>
  </si>
  <si>
    <t>Important links for the projects:</t>
  </si>
  <si>
    <t>EBIT</t>
  </si>
  <si>
    <t>PBT</t>
  </si>
  <si>
    <t>EBITDA Margin %</t>
  </si>
  <si>
    <t>Debt Service Coverage Ratio</t>
  </si>
  <si>
    <t>Cash Profit (Nopat +Depreciation)</t>
  </si>
  <si>
    <t>Interest on term loan</t>
  </si>
  <si>
    <t>Term Loan Repayment</t>
  </si>
  <si>
    <t>Total A</t>
  </si>
  <si>
    <t>Total B</t>
  </si>
  <si>
    <t>A/B</t>
  </si>
  <si>
    <t>EBITDA</t>
  </si>
  <si>
    <t>Principal</t>
  </si>
  <si>
    <t>DSCR</t>
  </si>
  <si>
    <t>Valuation</t>
  </si>
  <si>
    <t>Revenue</t>
  </si>
  <si>
    <t>-</t>
  </si>
  <si>
    <t>Net Debt</t>
  </si>
  <si>
    <t>Net Debt/EBITDA</t>
  </si>
  <si>
    <t>Net Fixed Assets</t>
  </si>
  <si>
    <t>FACR</t>
  </si>
  <si>
    <t>ISCR = EBIT/Interest</t>
  </si>
  <si>
    <t>Revenue growth %</t>
  </si>
  <si>
    <t>“Plantago ovata” commonly known as ‘Psyllium’ in English and ‘Isabgol’ in Hindi belongs to the family of Plantaginaceae, is a 10-45 cm short-stemmed annual herb known by different names such as ashwagolam, aspaghol, aspagol, bazarqutuna, blond Psyllium. Isabgol has high fiber content and acts like a sponge serving to clean the bowels and is extensively cultivated in many parts of the globe. It is commercially an important Rabi season crop known for its medicinal properties. Apart from its husk (The seed coat is known as “husk”) it is also being used in food</t>
  </si>
  <si>
    <t>industry especially in ice creams, biscuits and candies. The crop is mainly cultivated in the states of Rajasthan, Gujarat, Haryana and Madhya Pradesh</t>
  </si>
  <si>
    <t>Notably, India ranks first in Isabgol production (98%) and is the sole supplier of seeds and husk in the international market. Among medicinal plants, Isabgol is the first ranked foreign exchange earner for the country (Rs.30 million annually). It contains a significant amount of proteins and husk yields colloidal mucilage which are valued for medicinal application and is used in Aryuvedic, unani and allopathic systems of medicines. USA is the chief importer of Isabgol seeds and husk from India. The crop has a large export demand in USA and Western Europe and about 90% of the production is exported to these countries.</t>
  </si>
  <si>
    <t>Rajasthan is one of the major Isabgol producing states in India after Gujarat. The state ranks first in terms of area and production in the country. Isabgol thrives well in warm temperate region and requires cool and dry weather during its crop season hence generally it is sown during winter months. It grows well in saline soils with poor quality water in western Rajasthan as Rabi crop. The water requirement is low as compared to traditional crop thus, making it suitable for such areas. It matures in about 120 days (November to Feb-March). The spikes are harvested when they turn red. Isabgol products available in the market are used as laxative that is particularly beneficial in constipation, chronic ailments and dysentery. Seed prices are not governed by any regulations and are solely dependent upon the farmers. The average price of the seed is around Rs 80 to Rs 95 per kg. The crop covers 214188 hectares with the production of 113344 ton and average productivity of 529 kg/ha (Vital Agriculture Statistics, 2011-12) in the state.</t>
  </si>
  <si>
    <t>Focasted Revenue :</t>
  </si>
  <si>
    <t>Forcasted Revenue Growth Rate:</t>
  </si>
  <si>
    <t>ISCR</t>
  </si>
  <si>
    <t>RI-87, RI-89, AMB-2, GI-1, GI-2, GI 3, MIB-4, HI-34, HI-2, HI-1, HI-5, JI-4 and Niharika are the major varieties of Isabgol grown in India. Gujarat Isabgol-1, variety yields 800-900 kg of seeds per hectare.</t>
  </si>
  <si>
    <t xml:space="preserve">Scanty and erratic rainfall, Input and labor cost is very high, harvested seeds need to be kept safe from moisture and nonavailability of major Mandi and processing hub in Rajasthan and  all the seeds need to be send to Gujrat for further processing.
</t>
  </si>
  <si>
    <t xml:space="preserve"> Support through RACP will help improve crop productivity management, water management, and post-harvest management along with opening up opportunities for local value addition. Scope of establishment of FCSC would help in increasing the share of farmer over consumer rupee.
</t>
  </si>
  <si>
    <t>RAJASTHAN AGRICULTURAL COMPETITIVENESS PROJECT</t>
  </si>
  <si>
    <t>Some of the major challenges of the Isabgol value chain are: It’s a high risk crop, the entire crop gets damaged in case of bad weather, Price volatility hampers the mood of farmers. Currently, the farmers share in consumer rupee is very low due to the high level of value addition done in the  Rajasthan Agricultural Competitiveness Project 6
post-harvest value chain. The farmers share is 9%, traders enjoy a share of around 1% processors 47%, health care companies 225, distributors -8% and retailers 13%</t>
  </si>
  <si>
    <t>Isabgol is economically an important medicinal plant commonly cultivated in different parts of India, Pakistan and Iran and some part of Europe. It has been used in Asia and Europe since 16th century as an herbal medicine for chronic constipation. It has also been used in Chinese and Indian traditional system of medicines as safe laxative and reduces the risk of developing chronic diarrhoea, dysentery and other intestinal disorders. The seed husk does not irritate the intestine and has specific curing properties when mucous membrane is disturbed by inflammatory infections. Moreover, plant is regarded as a remedy for various ailments in traditional system of medicine in different parts of the world. Mucilage of the dried seed is used externally as an emollient in different parts of the world whereas in Iran water extract of dried seeds used externally
for inflammation and orally taken seeds used for indigestion associated with bile secretion abnormalities. In Thailand and Spain, seeds of this plant used in different ways for the treatment of ailments like cold, diarrhea and chronic constipation.</t>
  </si>
  <si>
    <t>In developing countries agriculture sector has promising effects on economic growth, because of
medicinal and pharmaceutical application of Isabgol, it has a high value of market demand and in
view of increasing market demand, cultivation of this plant at country level or worldwide is utmost
important for uplifting the economy of a country. The crop has a large export demand in USA and
Western Europe and about 90% of the production is exported to these countries. India is the
largest producer as well as exporter of Isabgol in the world. India provides about 85% of the
Isabgol available in the world market.</t>
  </si>
  <si>
    <t xml:space="preserve">Rajasthan State Scenario
</t>
  </si>
  <si>
    <t>Rajasthan is one of the main Isabgol producing states of India. The state ranks first in terms of area and production in the country. The mucilage has medicinal properties and used against constipation, irritation of digestive track etc. The left over material of seed after husk removal is used as animal feed. Isabgol thrive well in warm temperate region and requires cool and dry weather during its crop season hence generally it is sown during winter months. It can be grown well in saline soils with poor quality water in western Rajasthan as Rabi crop. The water requirement is low as compared to traditional crop makes it suitable for such areas. It matures in about 120 days (November to Feb- March). Rajasthan produces 67% of the Isabgol and rest is by Gujarat 33%. The spikes are harvested when they turn red. The average yield comes to 800-1000 kg/ha. Isabgol products available in the market are used as laxative that is particularly beneficial in constipation, chronic ailments and  Rajasthan Agricultural Competitiveness Project 12
dysentery. Seed prices are not governed by any regulations and are solely dependent upon the farmers. The average price of the seed is around Rs.35 to Rs.55 per kg. The total area under Isabgol cultivation in Rajasthan was 123746 Ha and production was 68872 tonnes in the year 2008-2009. At present the crop covers 214188 hectares with the production of 113344 ton and average productivity of 529 kg/ha (Vital Agriculture Statistics, 2011-12) in the state. However, Isabgol cultivation under arid condition with sandy loam soil is a profitable venture, which is gaining popularity among the farmers of western Rajasthan.</t>
  </si>
  <si>
    <t xml:space="preserve">Major Isabgol producing districts in Rajasthan
</t>
  </si>
  <si>
    <t>Psyllium Husk: -12119032 Importing Country</t>
  </si>
  <si>
    <t>Export Markets for Isabgol Husk from India (HSN: 12119032): Exported Value</t>
  </si>
  <si>
    <t>Isabgol husk Market: Drivers and Restraints</t>
  </si>
  <si>
    <t xml:space="preserve">The psyllium husk market is expected to be driven by the increasing demand for natural remedies
in OTC pharmaceutical segments as they are considered to be more beneficial and contents less
side effects over synthetic offerings. Increasing working class population in developing region is
aligned with the increasing laxative drug consumption due to sedentary lifestyle resulting in
demand for psyllium husk over the regions. The aging population is susceptible to digestive
problem which is attributed to fuel demand for psyllium husk in developed region with an aging
population.
The psyllium market is expected to face restraint from other natural laxatives available in the
market with added benefits and also from the synthetic laxative available at comparatively cheaper
cost. </t>
  </si>
  <si>
    <t>Plantago ovata commonly known as "Psyllium‟ in English and "Isabgol‟ in Hindi belongs to the family of Plantaginaceae, is a 10-45 cm short-stemmed annual herb known by different names such as ashwagolam, aspaghol, aspagol, bazarqutuna, blond Psyllium. Isabgol has high fiber content and acts like a sponge serving to clean the bowels and is extensively cultivated in many parts of the globe. It is commercially an important Rabi season crop known for its medicinal properties. Apart from its husk (The seed coat is known as “husk”) it is also being used in food industry especially in ice creams, biscuits and candies. The crop is mainly cultivated in the states of Rajasthan, Gujarat, Haryana and Madhya Pradesh.</t>
  </si>
  <si>
    <t>Psyllium seeds Psyllium seeds are an Agri-farm product of the dried ripe seeds of Plantago ovata forks (farm. Plantaginaceae) and it has been cleaned free of all dust, Agri farm fibers, wastes, mud, stones and iron particles. The seed itself is made up of 40% Linoleic Acid (LA), an important fatty acid essential to health. Psyllium seed typically Light brown to moderate brown color and having faint odor. It contains about 70% soluble fiber and 30% insoluble fiber. It is made up of 40% Linoleic Acid (LA), an important fatty acid essential to health, 19% fiber content, 18.8% proteins, and 10-20% triglycerides. The seed mucilage consists of polysaccharides, which is a soluble fiber.</t>
  </si>
  <si>
    <t>The husk of Psyllium is the actual coating of mucilage around the seed. It is considered pure dietary fiber and are the only part of the plant used in manufacturing Psyllium products. Its nutritional value consists mainly of glycosides, proteins, polysaccharides, vitamin B1, and choline. Fiber content of over 80% compared to less than 15% for oat bran and 10% for bran. The husk is composed mostly of a fiber called hemicellulose which is a complex carbohydrate found in whole grains, fruits and vegetables. Hemicellulose is indigestible; however, it is partially broken down in the colon and feeds the friendly intestinal flora. Psyllium seeds are processed to remove the outer coating of the seed to get the husk. Psyllium husk contains about 70% soluble fiber and 30% insoluble fiber. This white fibrous material is used in Pharmaceutical, cosmetics and food product industries. Psyllium husk is available in various grades according to the purity and mesh size etc. to match the individual user needs. It is available mostly in four grades of purity: 99% Pure, 98% Pure, 95% Pure and 85% Pure. Psyllium husk and psyllium seeds are graded according to the purity and quality of the material (Fig. 1). Psyllium husk powder Psyllium husk powder is proceeded from the husk using pulverize machine using various particle mesh size. It is available mostly in four grades of purity: 99% Pure, 98% Pure, 95% Pure and 85% Pure.</t>
  </si>
  <si>
    <t xml:space="preserve">Psyllium is most frequently added to breakfast cereals, meal replacements, bread, biscuits and other bakery products to improve the fiber content of the food but is also added to juices, shakes, yogurt, soups and even ice creams. It can also be used as a thickener in drinks or frozen desserts. Although Psyllium fiber has positive physiologic benefits, its high viscosity could make it difficult to incorporate into food products and a task is to get it acceptable to consumers. There are various commercial uses of Psyllium in food, pharmaceutical and other industries. Although obtaining dietary fiber from whole foods is preferable because it is accompanied by additional nutrients and phytochemicals, a fiber supplement should be recommended to close the fiber gap. It has been a continuous effort to improve the physicochemical, functional, sensory, and biological properties of psyllium for promoting its food utilization and enhancing its safety. It is a great challenge to disperse psyllium in water or aqueous solutions even with vigorous agitation because of its extremely strong water-absorbing capacity. The readers are referred to an excellent review focused on the approaches to improve the functionality (Yu et al., 2009). Their clinical relevance has been questioned because of the extreme </t>
  </si>
  <si>
    <t>Psyllium seeds is an agri-farm product of dried ripe seeds of plantago ovata forks (farm. Plantaginancae) and it has been cleaned free for all dust, agri farm fibers, wastes, mud, stones and iron particles.
The seed itself is made up of 40% Linoleic Acid (LA), an important fatty acid essential to health. Seed has property of mucilage formation on extraction of moisture. Psyllium seeds are cooling, laxative, soothing, antiacidic, anti diuretic and demulcent.</t>
  </si>
  <si>
    <t>The husk of Psyllium is the actual coating of mucilage around the seed. It is considered pure dietary fiber and is the only part of the plant used in manufacturing Psyllium products.</t>
  </si>
  <si>
    <t>Its nutritional value consists mainly of glycosides, proteins, polysaccharides, vitamin B1, and choline. Fiber content of over 80% compared to less than 15% for oat bran and 10% for wheat bran. The husk is composed mostly of a fiber called hemicellulose which is a complex carbohydrate found in whole grains, fruits and vegetables. Hemicellulose is indigestible however, it is partially broken down in the colon and feeds the friendly intestinal flora.</t>
  </si>
  <si>
    <t>Psyllium Husk is separated from the seeds by a mechanical process where no Chemicals are used. Psyllium Husk is available mostly in four grade of purity i.e. 99% pure, 98% pure, 95% pure and 85% pure.</t>
  </si>
  <si>
    <t>The husk of Psyllium is the actual coating of mucilage around the seed. It is considered pure dietary fiber and is the only part of the plant used in manufacturing Psyllium products.
Its nutritional value consists mainly of glycosides, proteins, polysaccharides, vitamin B1, and choline. Fiber content of over 80% compared to less than 15% for oat bran and 10% for wheat bran. The husk is composed mostly of a fiber called hemicellulose which is a complex carbohydrate found in whole grains, fruits and vegetables. Hemicellulose is indigestible however, it is partially broken down in the colon and feeds the friendly intestinal flora.
Psyllium Husk is separated from the seeds by a mechanical process where no Chemicals are used. Psyllium Husk is available mostly in four grade of purity i.e. 99% pure, 98% pure, 95% pure and 85% pure.</t>
  </si>
  <si>
    <t>GENERAL SPECIFICATION OF PSYLLIUM HUSK
IDENTIFICATION A MOUNTED IN CRESOL, CELL VIEWED MICROSCOPICALLY ARE COMPOSED OF POLYGONAL
PRISMATIC CELLS HAVING 4 TO 6 STRAIGHT OR SLIGHTLY WAVY WALLS
IDENTIFICATION B MOUNTED IN ALCOHOL AND IRRIGATED WITH WATER, VIEWED MICROSCOPICALLY,
THE MUCILAGE IN THE OUTER PART OF THE EPIDERMAL CELLS SWELLS RAPIDLY AND GOES
INTO SOLUTION</t>
  </si>
  <si>
    <t>Psyllium Husk Powder is processed from the Psyllium Husk which is grinded using Pulverize Machine in various particle sizes that is 40 meshes, 60 meshes, 80 meshes, 100 meshes in all grades of purity. Psyllium Husk and its Powder is used as a mild laxative spread in the United States and other European countries. Psyllium Husk Powder has high fiber and recently it has been started getting used in low carbohydrate treatment in USA.</t>
  </si>
  <si>
    <t>Psyllium Husk (Isabgol) Processing Plant (Capacity 4 ton per 24hr.)</t>
  </si>
  <si>
    <t>Average DSCR</t>
  </si>
  <si>
    <t>Average EBITDA Margin</t>
  </si>
  <si>
    <t>Average iscr</t>
  </si>
  <si>
    <t>Gross Profit</t>
  </si>
  <si>
    <t>Gross profit margin</t>
  </si>
  <si>
    <t>Current Ratio</t>
  </si>
  <si>
    <t>Change of land use</t>
  </si>
  <si>
    <t>SUNIL MENDIRATTA</t>
  </si>
  <si>
    <t>RAJNEESH WADHWA</t>
  </si>
  <si>
    <t>08ABGCS3254G1ZA</t>
  </si>
  <si>
    <t>Debt/Equity</t>
  </si>
  <si>
    <t>SPECIFICATION OF PSYLLIUM HUSK</t>
  </si>
  <si>
    <t xml:space="preserve">Specification as per Indian pharmacopeia </t>
  </si>
  <si>
    <t>Description</t>
  </si>
  <si>
    <t>Identification</t>
  </si>
  <si>
    <t xml:space="preserve">Loss on drying </t>
  </si>
  <si>
    <t>Swell Volume</t>
  </si>
  <si>
    <t>Foreign matter</t>
  </si>
  <si>
    <t xml:space="preserve">Light Extraneous Matter </t>
  </si>
  <si>
    <t>Insect infestation</t>
  </si>
  <si>
    <t>Purity</t>
  </si>
  <si>
    <t>Microbial limits</t>
  </si>
  <si>
    <t>Pale buff or light brown to pale
buff coloured free flowing
powder. Material swells rapidly
in water, forming a stiff
mucilage.</t>
  </si>
  <si>
    <t>Pale buff or light brown to
pale buff coloured free
flowing powder. Material
swells rapidly in water,
forming a stiff mucilage.</t>
  </si>
  <si>
    <t>Positive test for Psyllium
husk.</t>
  </si>
  <si>
    <t>Positive test for Psyllium husk.</t>
  </si>
  <si>
    <t>Not more than 4.5 % w/w.</t>
  </si>
  <si>
    <t>Not more than 4.0 % w/w.</t>
  </si>
  <si>
    <t>Not less than 40 ml/gm</t>
  </si>
  <si>
    <t>Not less than 35 ml/gm</t>
  </si>
  <si>
    <t>NA</t>
  </si>
  <si>
    <t>Not more than 2.0 % w/w.</t>
  </si>
  <si>
    <t>Complies as per USP 30/NF25</t>
  </si>
  <si>
    <t>NMT 1000cfu/gm of Molds
and yeasts.</t>
  </si>
  <si>
    <t>As per buyer requirements</t>
  </si>
  <si>
    <t>http://smilaxpsyllium.in/images/comparison.pdf</t>
  </si>
  <si>
    <t>including 8 lakhs of loading machiune</t>
  </si>
  <si>
    <t>KHASRA NO.352, GAV UMMED NAGAR, TEHSIL TINWARI, JODHPUR RAJSTHAN , 342305</t>
  </si>
  <si>
    <t>as against Rs 187.59 crore in December 2020</t>
  </si>
  <si>
    <t>Jaisalmer (Rajasthan) and Rewari (Haryana)</t>
  </si>
  <si>
    <t>Repair of personal and household goods</t>
  </si>
  <si>
    <t xml:space="preserve"> Non-specialized retail trade in stores</t>
  </si>
  <si>
    <t>Building of complete constructions or parts thereof; civil engineering</t>
  </si>
  <si>
    <t>Manufacture of grain mill products, starches and starch products, and prepared animal feeds</t>
  </si>
  <si>
    <t>KRISHNA INDUSTRIES was established in the year 1992. We are Manufacturer &amp; Supplier of Psyllium Processing Machinery and CLEANING, GRADING, SORTING &amp; HANDLING OF ALL KINDS OF SEEDS, GRAINS, PULSES, SPICES, OIL SEEDS etc. The product offered by us is manufactured according to set industry standards using superior grade raw material and innovative technology.</t>
  </si>
  <si>
    <t xml:space="preserve">9.02
</t>
  </si>
  <si>
    <t xml:space="preserve">12.33
</t>
  </si>
  <si>
    <t xml:space="preserve">13.43
</t>
  </si>
  <si>
    <t xml:space="preserve">14.58
</t>
  </si>
  <si>
    <t xml:space="preserve">14.94
</t>
  </si>
  <si>
    <t xml:space="preserve">15.31
</t>
  </si>
  <si>
    <t>15.70
16.09
16.49</t>
  </si>
  <si>
    <t>Repair &amp; Miantenance Expenses</t>
  </si>
  <si>
    <t xml:space="preserve"> Taxes @ 30 %</t>
  </si>
  <si>
    <t>Utilties</t>
  </si>
  <si>
    <t>Rajasthan Agricultural Competitiveness Project</t>
  </si>
  <si>
    <t>To carry on the business of manufacturers, processors, preservers, dealers, distributors, agents, stickiest, vendors, contractors, concessionaires, exporters and importers, of all kinds of preparation made out of wheat, rice, pulses, vegetable, fruits, dry fruits, psyllium husk or sat isabgol, psyllium powder, all kinds of spices biscuits, bread, baby foods, whey curd, canned and/or packaged fruits, nuts, fruit juices, fruit powders, jams, sauces purees, pickles, ciders, paneer, vegetable oils, vegetable ghee, artificial, ghee aerated drinks of all kinds and their byproducts, derivatives and allied products of all kinds and all kinds of aerated, artificial and mineral waters, soft drinks, carbonated drinks and juices of all kinds and descriptions.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</si>
</sst>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3" formatCode="_ * #,##0.00_ ;_ * \-#,##0.00_ ;_ * &quot;-&quot;??_ ;_ @_ "/>
    <numFmt numFmtId="164" formatCode="_(* #,##0.00_);_(* \(#,##0.00\);_(* &quot;-&quot;??_);_(@_)"/>
    <numFmt numFmtId="165" formatCode="#,##0.00000000"/>
    <numFmt numFmtId="166" formatCode="m\o\n\th\ d\,\ yyyy"/>
    <numFmt numFmtId="167" formatCode="#.00"/>
    <numFmt numFmtId="168" formatCode="#."/>
    <numFmt numFmtId="169" formatCode="0.0"/>
    <numFmt numFmtId="170" formatCode="_ * #,##0_ ;_ * \-#,##0_ ;_ * &quot;-&quot;??_ ;_ @_ "/>
    <numFmt numFmtId="171" formatCode="0.00_);[Red]\(0.00\)"/>
    <numFmt numFmtId="172" formatCode="0.00000"/>
    <numFmt numFmtId="173" formatCode="_ * #,##0.000_ ;_ * \-#,##0.000_ ;_ * &quot;-&quot;??_ ;_ @_ "/>
    <numFmt numFmtId="174" formatCode="_(* #,##0_);_(* \(#,##0\);_(* &quot;-&quot;??_);_(@_)"/>
    <numFmt numFmtId="175" formatCode="[$-409]mmmm\-yy;@"/>
    <numFmt numFmtId="176" formatCode="0.0%"/>
  </numFmts>
  <fonts count="44" x14ac:knownFonts="1">
    <font>
      <sz val="11"/>
      <color theme="1"/>
      <name val="Calibri"/>
      <family val="2"/>
      <scheme val="minor"/>
    </font>
    <font>
      <sz val="10"/>
      <name val="Arial"/>
      <family val="2"/>
    </font>
    <font>
      <b/>
      <sz val="10"/>
      <name val="Arial"/>
      <family val="2"/>
    </font>
    <font>
      <sz val="1"/>
      <color indexed="8"/>
      <name val="Courier"/>
      <family val="3"/>
    </font>
    <font>
      <b/>
      <sz val="1"/>
      <color indexed="8"/>
      <name val="Courier"/>
      <family val="3"/>
    </font>
    <font>
      <sz val="11"/>
      <color indexed="8"/>
      <name val="Calibri"/>
      <family val="2"/>
    </font>
    <font>
      <sz val="11"/>
      <color theme="1"/>
      <name val="Calibri"/>
      <family val="2"/>
      <scheme val="minor"/>
    </font>
    <font>
      <sz val="11"/>
      <name val="Calibri"/>
      <family val="2"/>
      <scheme val="minor"/>
    </font>
    <font>
      <b/>
      <sz val="11"/>
      <color theme="1"/>
      <name val="Calibri"/>
      <family val="2"/>
      <scheme val="minor"/>
    </font>
    <font>
      <b/>
      <sz val="11"/>
      <color rgb="FF002060"/>
      <name val="Calibri"/>
      <family val="2"/>
      <scheme val="minor"/>
    </font>
    <font>
      <b/>
      <sz val="11"/>
      <color theme="0"/>
      <name val="Calibri"/>
      <family val="2"/>
      <scheme val="minor"/>
    </font>
    <font>
      <sz val="11"/>
      <color theme="0"/>
      <name val="Calibri"/>
      <family val="2"/>
      <scheme val="minor"/>
    </font>
    <font>
      <b/>
      <sz val="11"/>
      <name val="Calibri"/>
      <family val="2"/>
      <scheme val="minor"/>
    </font>
    <font>
      <b/>
      <sz val="12"/>
      <color theme="0"/>
      <name val="Calibri"/>
      <family val="2"/>
      <scheme val="minor"/>
    </font>
    <font>
      <b/>
      <sz val="14"/>
      <color rgb="FFC00000"/>
      <name val="Calibri"/>
      <family val="2"/>
      <scheme val="minor"/>
    </font>
    <font>
      <b/>
      <sz val="12"/>
      <color theme="1"/>
      <name val="Calibri"/>
      <family val="2"/>
      <scheme val="minor"/>
    </font>
    <font>
      <b/>
      <sz val="12"/>
      <name val="Calibri"/>
      <family val="2"/>
      <scheme val="minor"/>
    </font>
    <font>
      <sz val="12"/>
      <name val="Calibri"/>
      <family val="2"/>
      <scheme val="minor"/>
    </font>
    <font>
      <sz val="12"/>
      <color theme="1"/>
      <name val="Calibri"/>
      <family val="2"/>
      <scheme val="minor"/>
    </font>
    <font>
      <b/>
      <u/>
      <sz val="11"/>
      <color theme="1"/>
      <name val="Calibri"/>
      <family val="2"/>
      <scheme val="minor"/>
    </font>
    <font>
      <b/>
      <u/>
      <sz val="12"/>
      <color theme="0"/>
      <name val="Calibri"/>
      <family val="2"/>
      <scheme val="minor"/>
    </font>
    <font>
      <sz val="12"/>
      <color theme="0"/>
      <name val="Calibri"/>
      <family val="2"/>
      <scheme val="minor"/>
    </font>
    <font>
      <sz val="12"/>
      <color rgb="FFC00000"/>
      <name val="Calibri"/>
      <family val="2"/>
      <scheme val="minor"/>
    </font>
    <font>
      <b/>
      <sz val="12"/>
      <color rgb="FFC00000"/>
      <name val="Calibri"/>
      <family val="2"/>
      <scheme val="minor"/>
    </font>
    <font>
      <u/>
      <sz val="11"/>
      <color theme="1"/>
      <name val="Calibri"/>
      <family val="2"/>
      <scheme val="minor"/>
    </font>
    <font>
      <b/>
      <sz val="11"/>
      <color rgb="FFC00000"/>
      <name val="Calibri"/>
      <family val="2"/>
      <scheme val="minor"/>
    </font>
    <font>
      <sz val="11"/>
      <color rgb="FFC00000"/>
      <name val="Calibri"/>
      <family val="2"/>
      <scheme val="minor"/>
    </font>
    <font>
      <sz val="14"/>
      <color rgb="FFC00000"/>
      <name val="Calibri"/>
      <family val="2"/>
      <scheme val="minor"/>
    </font>
    <font>
      <sz val="10"/>
      <color theme="1"/>
      <name val="Calibri"/>
      <family val="2"/>
      <scheme val="minor"/>
    </font>
    <font>
      <b/>
      <sz val="10"/>
      <color theme="0"/>
      <name val="Calibri"/>
      <family val="2"/>
      <scheme val="minor"/>
    </font>
    <font>
      <b/>
      <u/>
      <sz val="11"/>
      <name val="Calibri"/>
      <family val="2"/>
      <scheme val="minor"/>
    </font>
    <font>
      <u/>
      <sz val="11"/>
      <name val="Calibri"/>
      <family val="2"/>
      <scheme val="minor"/>
    </font>
    <font>
      <b/>
      <u/>
      <sz val="11"/>
      <color rgb="FFC00000"/>
      <name val="Calibri"/>
      <family val="2"/>
      <scheme val="minor"/>
    </font>
    <font>
      <u/>
      <sz val="11"/>
      <color rgb="FFC00000"/>
      <name val="Calibri"/>
      <family val="2"/>
      <scheme val="minor"/>
    </font>
    <font>
      <b/>
      <u/>
      <sz val="12"/>
      <color rgb="FFC00000"/>
      <name val="Calibri"/>
      <family val="2"/>
      <scheme val="minor"/>
    </font>
    <font>
      <b/>
      <u/>
      <sz val="11"/>
      <color theme="0"/>
      <name val="Calibri"/>
      <family val="2"/>
      <scheme val="minor"/>
    </font>
    <font>
      <u/>
      <sz val="11"/>
      <color theme="0"/>
      <name val="Calibri"/>
      <family val="2"/>
      <scheme val="minor"/>
    </font>
    <font>
      <b/>
      <sz val="10"/>
      <color rgb="FF1D1D1C"/>
      <name val="Calibri"/>
      <family val="2"/>
      <scheme val="minor"/>
    </font>
    <font>
      <b/>
      <sz val="10"/>
      <color theme="1"/>
      <name val="Calibri"/>
      <family val="2"/>
      <scheme val="minor"/>
    </font>
    <font>
      <b/>
      <sz val="13"/>
      <color theme="0"/>
      <name val="Calibri"/>
      <family val="2"/>
      <scheme val="minor"/>
    </font>
    <font>
      <sz val="10"/>
      <color theme="0"/>
      <name val="Calibri"/>
      <family val="2"/>
      <scheme val="minor"/>
    </font>
    <font>
      <u/>
      <sz val="11"/>
      <color theme="10"/>
      <name val="Calibri"/>
      <family val="2"/>
      <scheme val="minor"/>
    </font>
    <font>
      <sz val="11"/>
      <color rgb="FF777777"/>
      <name val="Arial"/>
      <family val="2"/>
    </font>
    <font>
      <sz val="11"/>
      <color theme="1"/>
      <name val="Calibri"/>
      <family val="2"/>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002060"/>
        <bgColor indexed="64"/>
      </patternFill>
    </fill>
    <fill>
      <patternFill patternType="solid">
        <fgColor theme="9" tint="0.39997558519241921"/>
        <bgColor indexed="64"/>
      </patternFill>
    </fill>
    <fill>
      <patternFill patternType="solid">
        <fgColor rgb="FFFFFFFF"/>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0">
    <xf numFmtId="0" fontId="0" fillId="0" borderId="0"/>
    <xf numFmtId="43" fontId="6" fillId="0" borderId="0" applyFont="0" applyFill="0" applyBorder="0" applyAlignment="0" applyProtection="0"/>
    <xf numFmtId="164" fontId="2" fillId="0" borderId="0" applyFont="0" applyFill="0" applyBorder="0" applyAlignment="0" applyProtection="0"/>
    <xf numFmtId="165" fontId="1" fillId="0" borderId="0" applyFont="0" applyFill="0" applyBorder="0" applyAlignment="0" applyProtection="0"/>
    <xf numFmtId="0" fontId="2" fillId="0" borderId="0" applyFont="0" applyFill="0" applyBorder="0" applyAlignment="0" applyProtection="0"/>
    <xf numFmtId="166" fontId="3" fillId="0" borderId="0">
      <protection locked="0"/>
    </xf>
    <xf numFmtId="167" fontId="3" fillId="0" borderId="0">
      <protection locked="0"/>
    </xf>
    <xf numFmtId="168" fontId="4" fillId="0" borderId="0">
      <protection locked="0"/>
    </xf>
    <xf numFmtId="168" fontId="4" fillId="0" borderId="0">
      <protection locked="0"/>
    </xf>
    <xf numFmtId="0" fontId="1" fillId="0" borderId="0"/>
    <xf numFmtId="0" fontId="6" fillId="0" borderId="0"/>
    <xf numFmtId="0" fontId="1" fillId="0" borderId="0"/>
    <xf numFmtId="9" fontId="6"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0" fontId="5" fillId="0" borderId="0"/>
    <xf numFmtId="0" fontId="41" fillId="0" borderId="0" applyNumberFormat="0" applyFill="0" applyBorder="0" applyAlignment="0" applyProtection="0"/>
  </cellStyleXfs>
  <cellXfs count="301">
    <xf numFmtId="0" fontId="0" fillId="0" borderId="0" xfId="0"/>
    <xf numFmtId="0" fontId="8" fillId="0" borderId="0" xfId="0" applyFont="1"/>
    <xf numFmtId="0" fontId="0" fillId="0" borderId="7" xfId="0" applyBorder="1"/>
    <xf numFmtId="175" fontId="0" fillId="0" borderId="5" xfId="0" applyNumberFormat="1" applyBorder="1"/>
    <xf numFmtId="0" fontId="0" fillId="0" borderId="6" xfId="0" applyBorder="1"/>
    <xf numFmtId="0" fontId="0" fillId="0" borderId="8" xfId="0" applyBorder="1"/>
    <xf numFmtId="175" fontId="0" fillId="0" borderId="0" xfId="0" applyNumberFormat="1" applyBorder="1"/>
    <xf numFmtId="0" fontId="0" fillId="0" borderId="9" xfId="0" applyBorder="1"/>
    <xf numFmtId="0" fontId="0" fillId="0" borderId="10" xfId="0" applyBorder="1"/>
    <xf numFmtId="175" fontId="0" fillId="0" borderId="11" xfId="0" applyNumberFormat="1" applyBorder="1"/>
    <xf numFmtId="0" fontId="0" fillId="0" borderId="13" xfId="0" applyBorder="1"/>
    <xf numFmtId="0" fontId="0" fillId="0" borderId="14" xfId="0" applyBorder="1"/>
    <xf numFmtId="9" fontId="0" fillId="0" borderId="14" xfId="12" applyFont="1" applyBorder="1"/>
    <xf numFmtId="43" fontId="0" fillId="0" borderId="0" xfId="1" applyNumberFormat="1" applyFont="1" applyBorder="1"/>
    <xf numFmtId="43" fontId="0" fillId="0" borderId="5" xfId="1" applyNumberFormat="1" applyFont="1" applyBorder="1"/>
    <xf numFmtId="43" fontId="0" fillId="0" borderId="11" xfId="1" applyNumberFormat="1" applyFont="1" applyBorder="1"/>
    <xf numFmtId="43" fontId="8" fillId="0" borderId="0" xfId="0" applyNumberFormat="1" applyFont="1"/>
    <xf numFmtId="43" fontId="0" fillId="0" borderId="12" xfId="0" applyNumberFormat="1" applyBorder="1"/>
    <xf numFmtId="0" fontId="8" fillId="0" borderId="1" xfId="0" applyFont="1" applyBorder="1"/>
    <xf numFmtId="43" fontId="0" fillId="0" borderId="1" xfId="1" applyNumberFormat="1" applyFont="1" applyBorder="1"/>
    <xf numFmtId="0" fontId="8" fillId="0" borderId="5" xfId="0" applyFont="1" applyBorder="1"/>
    <xf numFmtId="0" fontId="0" fillId="0" borderId="5" xfId="0" applyBorder="1"/>
    <xf numFmtId="0" fontId="8" fillId="0" borderId="3" xfId="0" applyFont="1" applyBorder="1"/>
    <xf numFmtId="0" fontId="8" fillId="0" borderId="4" xfId="0" applyFont="1" applyBorder="1"/>
    <xf numFmtId="0" fontId="0" fillId="0" borderId="3" xfId="0" applyBorder="1"/>
    <xf numFmtId="43" fontId="0" fillId="0" borderId="4" xfId="1" applyNumberFormat="1" applyFont="1" applyBorder="1"/>
    <xf numFmtId="0" fontId="9" fillId="0" borderId="5" xfId="0" applyFont="1" applyBorder="1"/>
    <xf numFmtId="0" fontId="8" fillId="0" borderId="2" xfId="0" applyFont="1" applyFill="1" applyBorder="1"/>
    <xf numFmtId="43" fontId="0" fillId="0" borderId="0" xfId="1" applyFont="1" applyBorder="1"/>
    <xf numFmtId="0" fontId="0" fillId="0" borderId="0" xfId="0" applyFont="1" applyBorder="1"/>
    <xf numFmtId="0" fontId="0" fillId="0" borderId="0" xfId="0" applyFont="1"/>
    <xf numFmtId="0" fontId="0" fillId="2" borderId="0" xfId="0" applyFont="1" applyFill="1" applyBorder="1"/>
    <xf numFmtId="0" fontId="0" fillId="0" borderId="0" xfId="0" applyFont="1" applyBorder="1" applyAlignment="1">
      <alignment horizontal="right"/>
    </xf>
    <xf numFmtId="0" fontId="8" fillId="0" borderId="0" xfId="0" applyFont="1" applyFill="1" applyBorder="1" applyAlignment="1">
      <alignment horizontal="center"/>
    </xf>
    <xf numFmtId="2" fontId="12" fillId="0" borderId="0" xfId="0" applyNumberFormat="1" applyFont="1" applyFill="1" applyBorder="1" applyAlignment="1">
      <alignment horizontal="left" vertical="center" wrapText="1"/>
    </xf>
    <xf numFmtId="0" fontId="0" fillId="2" borderId="0" xfId="0" applyFont="1" applyFill="1"/>
    <xf numFmtId="0" fontId="0" fillId="0" borderId="0" xfId="0" applyFont="1" applyFill="1"/>
    <xf numFmtId="0" fontId="0" fillId="0" borderId="0" xfId="0" applyFont="1" applyAlignment="1">
      <alignment vertical="center"/>
    </xf>
    <xf numFmtId="169" fontId="8" fillId="0" borderId="0" xfId="0" applyNumberFormat="1" applyFont="1" applyFill="1" applyBorder="1" applyAlignment="1">
      <alignment horizontal="right"/>
    </xf>
    <xf numFmtId="0" fontId="8" fillId="0" borderId="0" xfId="0" applyFont="1" applyFill="1" applyAlignment="1">
      <alignment horizontal="center"/>
    </xf>
    <xf numFmtId="43" fontId="0" fillId="0" borderId="0" xfId="1" applyFont="1" applyFill="1" applyAlignment="1">
      <alignment horizontal="right"/>
    </xf>
    <xf numFmtId="10" fontId="0" fillId="0" borderId="0" xfId="12" applyNumberFormat="1" applyFont="1" applyFill="1" applyAlignment="1">
      <alignment horizontal="right"/>
    </xf>
    <xf numFmtId="10" fontId="0" fillId="0" borderId="0" xfId="0" applyNumberFormat="1" applyFont="1" applyFill="1"/>
    <xf numFmtId="10" fontId="0" fillId="0" borderId="0" xfId="0" applyNumberFormat="1" applyFont="1"/>
    <xf numFmtId="169" fontId="0" fillId="0" borderId="0" xfId="0" applyNumberFormat="1" applyFont="1" applyFill="1" applyAlignment="1">
      <alignment horizontal="right"/>
    </xf>
    <xf numFmtId="1" fontId="0" fillId="0" borderId="0" xfId="0" applyNumberFormat="1" applyFont="1" applyFill="1"/>
    <xf numFmtId="2" fontId="7" fillId="0" borderId="0" xfId="0" applyNumberFormat="1" applyFont="1" applyFill="1" applyBorder="1"/>
    <xf numFmtId="170" fontId="0" fillId="0" borderId="0" xfId="1" applyNumberFormat="1" applyFont="1" applyFill="1"/>
    <xf numFmtId="4" fontId="0" fillId="0" borderId="0" xfId="0" applyNumberFormat="1" applyFont="1" applyFill="1"/>
    <xf numFmtId="2" fontId="0" fillId="0" borderId="0" xfId="0" applyNumberFormat="1" applyFont="1" applyFill="1"/>
    <xf numFmtId="0" fontId="14" fillId="5" borderId="0" xfId="0" applyFont="1" applyFill="1" applyBorder="1" applyAlignment="1">
      <alignment vertical="center"/>
    </xf>
    <xf numFmtId="0" fontId="13" fillId="4" borderId="0" xfId="0" applyFont="1" applyFill="1" applyBorder="1" applyAlignment="1">
      <alignment vertical="center"/>
    </xf>
    <xf numFmtId="0" fontId="15" fillId="0" borderId="0" xfId="0" applyFont="1" applyFill="1" applyBorder="1" applyAlignment="1">
      <alignment horizontal="center"/>
    </xf>
    <xf numFmtId="0" fontId="15" fillId="2" borderId="0" xfId="0" applyFont="1" applyFill="1" applyBorder="1" applyAlignment="1">
      <alignment horizontal="center"/>
    </xf>
    <xf numFmtId="0" fontId="18" fillId="0" borderId="0" xfId="0" applyFont="1" applyBorder="1"/>
    <xf numFmtId="0" fontId="15" fillId="0" borderId="0" xfId="0" applyFont="1" applyFill="1" applyBorder="1" applyAlignment="1">
      <alignment horizontal="center" vertical="center"/>
    </xf>
    <xf numFmtId="0" fontId="8" fillId="0" borderId="0" xfId="0" applyFont="1" applyBorder="1" applyAlignment="1"/>
    <xf numFmtId="0" fontId="8" fillId="0" borderId="0" xfId="0" applyFont="1" applyBorder="1" applyAlignment="1">
      <alignment horizontal="center"/>
    </xf>
    <xf numFmtId="0" fontId="8" fillId="0" borderId="0" xfId="0" applyFont="1" applyBorder="1"/>
    <xf numFmtId="0" fontId="0" fillId="0" borderId="0" xfId="0" applyFont="1" applyBorder="1" applyAlignment="1">
      <alignment horizontal="center"/>
    </xf>
    <xf numFmtId="43" fontId="0" fillId="3" borderId="0" xfId="1" applyFont="1" applyFill="1" applyBorder="1"/>
    <xf numFmtId="0" fontId="0" fillId="3" borderId="0" xfId="0" applyFont="1" applyFill="1" applyBorder="1"/>
    <xf numFmtId="170" fontId="0" fillId="3" borderId="0" xfId="1" applyNumberFormat="1" applyFont="1" applyFill="1" applyBorder="1"/>
    <xf numFmtId="170" fontId="0" fillId="0" borderId="0" xfId="1" applyNumberFormat="1" applyFont="1" applyBorder="1"/>
    <xf numFmtId="9" fontId="0" fillId="3" borderId="0" xfId="12" applyFont="1" applyFill="1" applyBorder="1"/>
    <xf numFmtId="9" fontId="0" fillId="0" borderId="0" xfId="12" applyFont="1" applyBorder="1"/>
    <xf numFmtId="9" fontId="0" fillId="0" borderId="0" xfId="0" applyNumberFormat="1" applyFont="1" applyBorder="1"/>
    <xf numFmtId="0" fontId="19" fillId="0" borderId="0" xfId="0" applyFont="1" applyBorder="1"/>
    <xf numFmtId="174" fontId="0" fillId="0" borderId="0" xfId="1" applyNumberFormat="1" applyFont="1" applyBorder="1"/>
    <xf numFmtId="170" fontId="8" fillId="0" borderId="0" xfId="1" applyNumberFormat="1" applyFont="1" applyBorder="1"/>
    <xf numFmtId="164" fontId="0" fillId="0" borderId="0" xfId="0" applyNumberFormat="1" applyFont="1" applyBorder="1"/>
    <xf numFmtId="0" fontId="19" fillId="0" borderId="0" xfId="0" applyFont="1" applyFill="1" applyBorder="1"/>
    <xf numFmtId="170" fontId="0" fillId="0" borderId="0" xfId="0" applyNumberFormat="1" applyFont="1" applyBorder="1"/>
    <xf numFmtId="0" fontId="8" fillId="0" borderId="0" xfId="0" applyFont="1" applyFill="1" applyBorder="1"/>
    <xf numFmtId="0" fontId="0" fillId="0" borderId="0" xfId="0" applyFont="1" applyFill="1" applyBorder="1"/>
    <xf numFmtId="43" fontId="0" fillId="0" borderId="0" xfId="0" applyNumberFormat="1" applyFont="1" applyBorder="1"/>
    <xf numFmtId="0" fontId="18" fillId="0" borderId="0" xfId="0" applyFont="1"/>
    <xf numFmtId="0" fontId="15" fillId="0" borderId="0" xfId="0" applyFont="1" applyBorder="1" applyAlignment="1">
      <alignment horizontal="left"/>
    </xf>
    <xf numFmtId="0" fontId="15" fillId="0" borderId="0" xfId="0" applyFont="1" applyBorder="1" applyAlignment="1">
      <alignment horizontal="center"/>
    </xf>
    <xf numFmtId="0" fontId="15" fillId="0" borderId="0" xfId="0" applyFont="1" applyBorder="1"/>
    <xf numFmtId="0" fontId="15" fillId="0" borderId="0" xfId="0" applyFont="1"/>
    <xf numFmtId="0" fontId="18" fillId="0" borderId="0" xfId="0" applyFont="1" applyBorder="1" applyAlignment="1">
      <alignment horizontal="center"/>
    </xf>
    <xf numFmtId="174" fontId="18" fillId="0" borderId="0" xfId="0" applyNumberFormat="1" applyFont="1" applyBorder="1"/>
    <xf numFmtId="0" fontId="18" fillId="0" borderId="0" xfId="0" applyFont="1" applyFill="1" applyBorder="1"/>
    <xf numFmtId="0" fontId="21" fillId="4" borderId="0" xfId="0" applyFont="1" applyFill="1" applyBorder="1"/>
    <xf numFmtId="0" fontId="18" fillId="5" borderId="0" xfId="0" applyFont="1" applyFill="1"/>
    <xf numFmtId="0" fontId="14" fillId="5" borderId="0" xfId="0" applyFont="1" applyFill="1" applyAlignment="1">
      <alignment horizontal="left" vertical="center"/>
    </xf>
    <xf numFmtId="0" fontId="10" fillId="4" borderId="0" xfId="0" applyFont="1" applyFill="1" applyBorder="1" applyAlignment="1">
      <alignment vertical="center"/>
    </xf>
    <xf numFmtId="0" fontId="10" fillId="4" borderId="0" xfId="0" applyFont="1" applyFill="1" applyBorder="1" applyAlignment="1">
      <alignment horizontal="center" vertical="center"/>
    </xf>
    <xf numFmtId="43" fontId="0" fillId="3" borderId="0" xfId="1" applyFont="1" applyFill="1" applyBorder="1" applyAlignment="1">
      <alignment vertical="center"/>
    </xf>
    <xf numFmtId="43" fontId="0" fillId="0" borderId="0" xfId="1" applyFont="1" applyBorder="1" applyAlignment="1">
      <alignment vertical="center"/>
    </xf>
    <xf numFmtId="0" fontId="8" fillId="0" borderId="0" xfId="0" applyFont="1" applyFill="1" applyBorder="1" applyAlignment="1"/>
    <xf numFmtId="164" fontId="8" fillId="0" borderId="0" xfId="0" applyNumberFormat="1" applyFont="1" applyFill="1" applyBorder="1" applyAlignment="1">
      <alignment horizontal="center"/>
    </xf>
    <xf numFmtId="170" fontId="0" fillId="0" borderId="0" xfId="1" applyNumberFormat="1" applyFont="1" applyFill="1" applyBorder="1"/>
    <xf numFmtId="164" fontId="0" fillId="0" borderId="0" xfId="0" applyNumberFormat="1" applyFont="1" applyFill="1" applyBorder="1"/>
    <xf numFmtId="0" fontId="0" fillId="0" borderId="0" xfId="0" applyFont="1" applyFill="1" applyBorder="1" applyAlignment="1"/>
    <xf numFmtId="0" fontId="0" fillId="0" borderId="0" xfId="0" applyFont="1" applyFill="1" applyAlignment="1"/>
    <xf numFmtId="43" fontId="0" fillId="0" borderId="0" xfId="0" applyNumberFormat="1" applyFont="1" applyFill="1" applyBorder="1"/>
    <xf numFmtId="43" fontId="0" fillId="0" borderId="0" xfId="0" applyNumberFormat="1" applyFont="1" applyFill="1"/>
    <xf numFmtId="43" fontId="0" fillId="0" borderId="0" xfId="1" applyNumberFormat="1" applyFont="1" applyFill="1" applyBorder="1"/>
    <xf numFmtId="0" fontId="0" fillId="0" borderId="0" xfId="0" applyNumberFormat="1" applyFont="1" applyFill="1"/>
    <xf numFmtId="171" fontId="0" fillId="0" borderId="0" xfId="0" applyNumberFormat="1" applyFont="1" applyFill="1" applyBorder="1"/>
    <xf numFmtId="2" fontId="0" fillId="0" borderId="0" xfId="12" applyNumberFormat="1" applyFont="1" applyFill="1" applyBorder="1"/>
    <xf numFmtId="164" fontId="0" fillId="0" borderId="0" xfId="12" applyNumberFormat="1" applyFont="1" applyFill="1"/>
    <xf numFmtId="2" fontId="0" fillId="0" borderId="0" xfId="12" applyNumberFormat="1" applyFont="1" applyFill="1"/>
    <xf numFmtId="43" fontId="0" fillId="0" borderId="0" xfId="1" applyNumberFormat="1" applyFont="1" applyFill="1"/>
    <xf numFmtId="173" fontId="0" fillId="0" borderId="0" xfId="1" applyNumberFormat="1" applyFont="1" applyFill="1"/>
    <xf numFmtId="43" fontId="0" fillId="0" borderId="0" xfId="1" applyFont="1" applyFill="1"/>
    <xf numFmtId="164" fontId="0" fillId="0" borderId="0" xfId="0" applyNumberFormat="1" applyFont="1" applyFill="1"/>
    <xf numFmtId="0" fontId="10" fillId="4" borderId="0" xfId="0" applyFont="1" applyFill="1" applyBorder="1" applyAlignment="1"/>
    <xf numFmtId="0" fontId="11" fillId="4" borderId="0" xfId="0" applyFont="1" applyFill="1" applyBorder="1"/>
    <xf numFmtId="0" fontId="23" fillId="5" borderId="0" xfId="0" applyFont="1" applyFill="1" applyBorder="1" applyAlignment="1">
      <alignment vertical="center"/>
    </xf>
    <xf numFmtId="0" fontId="26" fillId="5" borderId="0" xfId="0" applyFont="1" applyFill="1" applyBorder="1"/>
    <xf numFmtId="0" fontId="14" fillId="5" borderId="0" xfId="0" applyFont="1" applyFill="1" applyBorder="1" applyAlignment="1"/>
    <xf numFmtId="0" fontId="27" fillId="5" borderId="0" xfId="0" applyFont="1" applyFill="1" applyBorder="1"/>
    <xf numFmtId="0" fontId="22" fillId="5" borderId="0" xfId="0" applyFont="1" applyFill="1" applyBorder="1"/>
    <xf numFmtId="43" fontId="0" fillId="0" borderId="0" xfId="1" applyFont="1" applyFill="1" applyBorder="1"/>
    <xf numFmtId="2" fontId="0" fillId="0" borderId="0" xfId="0" applyNumberFormat="1" applyFont="1" applyFill="1" applyBorder="1"/>
    <xf numFmtId="0" fontId="25" fillId="5" borderId="0" xfId="0" applyFont="1" applyFill="1" applyBorder="1" applyAlignment="1">
      <alignment vertical="center"/>
    </xf>
    <xf numFmtId="43" fontId="0" fillId="0" borderId="0" xfId="1" applyFont="1" applyFill="1" applyBorder="1" applyAlignment="1">
      <alignment vertical="center"/>
    </xf>
    <xf numFmtId="0" fontId="0" fillId="0" borderId="0" xfId="0" applyFont="1" applyFill="1" applyBorder="1" applyAlignment="1">
      <alignment vertical="center"/>
    </xf>
    <xf numFmtId="0" fontId="0" fillId="0" borderId="0" xfId="0" applyFont="1" applyFill="1" applyBorder="1" applyAlignment="1">
      <alignment horizontal="center"/>
    </xf>
    <xf numFmtId="170" fontId="0" fillId="0" borderId="0" xfId="0" applyNumberFormat="1" applyFont="1"/>
    <xf numFmtId="43" fontId="0" fillId="0" borderId="0" xfId="0" applyNumberFormat="1" applyFont="1"/>
    <xf numFmtId="164" fontId="0" fillId="0" borderId="0" xfId="0" applyNumberFormat="1" applyFont="1"/>
    <xf numFmtId="0" fontId="10" fillId="4" borderId="0" xfId="0" applyFont="1" applyFill="1" applyBorder="1"/>
    <xf numFmtId="0" fontId="10" fillId="4" borderId="0" xfId="0" applyFont="1" applyFill="1"/>
    <xf numFmtId="170" fontId="10" fillId="4" borderId="0" xfId="0" applyNumberFormat="1" applyFont="1" applyFill="1"/>
    <xf numFmtId="0" fontId="0" fillId="0" borderId="0" xfId="0" applyFont="1" applyAlignment="1">
      <alignment vertical="top" wrapText="1"/>
    </xf>
    <xf numFmtId="171" fontId="0" fillId="0" borderId="0" xfId="0" applyNumberFormat="1" applyFont="1"/>
    <xf numFmtId="0" fontId="7" fillId="0" borderId="0" xfId="18" applyFont="1" applyBorder="1" applyAlignment="1">
      <alignment horizontal="center"/>
    </xf>
    <xf numFmtId="0" fontId="7" fillId="0" borderId="0" xfId="18" applyFont="1"/>
    <xf numFmtId="0" fontId="30" fillId="0" borderId="0" xfId="18" applyFont="1" applyBorder="1" applyAlignment="1">
      <alignment horizontal="center"/>
    </xf>
    <xf numFmtId="43" fontId="30" fillId="0" borderId="0" xfId="1" applyFont="1" applyBorder="1" applyAlignment="1">
      <alignment horizontal="center"/>
    </xf>
    <xf numFmtId="43" fontId="31" fillId="0" borderId="0" xfId="1" applyFont="1" applyBorder="1" applyAlignment="1">
      <alignment horizontal="center"/>
    </xf>
    <xf numFmtId="0" fontId="7" fillId="0" borderId="0" xfId="18" applyFont="1" applyBorder="1"/>
    <xf numFmtId="0" fontId="30" fillId="0" borderId="0" xfId="18" applyFont="1" applyBorder="1" applyAlignment="1">
      <alignment horizontal="right"/>
    </xf>
    <xf numFmtId="0" fontId="7" fillId="0" borderId="0" xfId="18" applyFont="1" applyBorder="1" applyAlignment="1">
      <alignment horizontal="right"/>
    </xf>
    <xf numFmtId="0" fontId="7" fillId="0" borderId="0" xfId="18" applyFont="1" applyBorder="1" applyAlignment="1">
      <alignment horizontal="left"/>
    </xf>
    <xf numFmtId="43" fontId="7" fillId="0" borderId="0" xfId="1" applyFont="1" applyBorder="1" applyAlignment="1">
      <alignment horizontal="right"/>
    </xf>
    <xf numFmtId="43" fontId="7" fillId="0" borderId="0" xfId="1" applyFont="1" applyBorder="1"/>
    <xf numFmtId="2" fontId="7" fillId="0" borderId="0" xfId="18" applyNumberFormat="1" applyFont="1" applyBorder="1"/>
    <xf numFmtId="10" fontId="7" fillId="0" borderId="0" xfId="18" applyNumberFormat="1" applyFont="1" applyBorder="1" applyAlignment="1">
      <alignment horizontal="center"/>
    </xf>
    <xf numFmtId="0" fontId="12" fillId="0" borderId="0" xfId="18" applyFont="1" applyBorder="1" applyAlignment="1">
      <alignment horizontal="left"/>
    </xf>
    <xf numFmtId="0" fontId="7" fillId="0" borderId="0" xfId="18" applyFont="1" applyBorder="1" applyAlignment="1"/>
    <xf numFmtId="3" fontId="7" fillId="0" borderId="0" xfId="18" applyNumberFormat="1" applyFont="1" applyBorder="1"/>
    <xf numFmtId="2" fontId="7" fillId="0" borderId="0" xfId="18" applyNumberFormat="1" applyFont="1"/>
    <xf numFmtId="0" fontId="7" fillId="0" borderId="0" xfId="18" applyFont="1" applyBorder="1" applyAlignment="1">
      <alignment vertical="center"/>
    </xf>
    <xf numFmtId="10" fontId="7" fillId="0" borderId="0" xfId="1" applyNumberFormat="1" applyFont="1" applyBorder="1"/>
    <xf numFmtId="4" fontId="7" fillId="0" borderId="0" xfId="18" applyNumberFormat="1" applyFont="1" applyBorder="1"/>
    <xf numFmtId="43" fontId="12" fillId="0" borderId="0" xfId="1" applyFont="1" applyBorder="1"/>
    <xf numFmtId="10" fontId="7" fillId="0" borderId="0" xfId="18" applyNumberFormat="1" applyFont="1"/>
    <xf numFmtId="172" fontId="7" fillId="0" borderId="0" xfId="18" applyNumberFormat="1" applyFont="1"/>
    <xf numFmtId="38" fontId="7" fillId="0" borderId="0" xfId="18" applyNumberFormat="1" applyFont="1"/>
    <xf numFmtId="0" fontId="7" fillId="0" borderId="0" xfId="18" applyFont="1" applyAlignment="1">
      <alignment horizontal="center"/>
    </xf>
    <xf numFmtId="2" fontId="12" fillId="0" borderId="0" xfId="18" applyNumberFormat="1" applyFont="1"/>
    <xf numFmtId="43" fontId="7" fillId="0" borderId="0" xfId="1" applyFont="1"/>
    <xf numFmtId="0" fontId="32" fillId="5" borderId="0" xfId="18" applyFont="1" applyFill="1" applyBorder="1" applyAlignment="1"/>
    <xf numFmtId="0" fontId="26" fillId="5" borderId="0" xfId="18" applyFont="1" applyFill="1"/>
    <xf numFmtId="43" fontId="32" fillId="5" borderId="0" xfId="1" applyFont="1" applyFill="1" applyBorder="1" applyAlignment="1"/>
    <xf numFmtId="43" fontId="33" fillId="5" borderId="0" xfId="1" applyFont="1" applyFill="1" applyBorder="1" applyAlignment="1"/>
    <xf numFmtId="0" fontId="34" fillId="5" borderId="0" xfId="18" applyFont="1" applyFill="1" applyBorder="1" applyAlignment="1">
      <alignment vertical="center"/>
    </xf>
    <xf numFmtId="0" fontId="11" fillId="4" borderId="0" xfId="18" applyFont="1" applyFill="1" applyBorder="1" applyAlignment="1">
      <alignment horizontal="center"/>
    </xf>
    <xf numFmtId="0" fontId="11" fillId="4" borderId="0" xfId="18" applyFont="1" applyFill="1" applyBorder="1"/>
    <xf numFmtId="0" fontId="35" fillId="4" borderId="0" xfId="18" applyFont="1" applyFill="1" applyBorder="1" applyAlignment="1">
      <alignment horizontal="center"/>
    </xf>
    <xf numFmtId="43" fontId="35" fillId="4" borderId="0" xfId="1" applyFont="1" applyFill="1" applyBorder="1" applyAlignment="1">
      <alignment horizontal="center"/>
    </xf>
    <xf numFmtId="43" fontId="36" fillId="4" borderId="0" xfId="1" applyFont="1" applyFill="1" applyBorder="1" applyAlignment="1">
      <alignment horizontal="center"/>
    </xf>
    <xf numFmtId="0" fontId="35" fillId="4" borderId="0" xfId="18" applyFont="1" applyFill="1" applyBorder="1" applyAlignment="1">
      <alignment horizontal="right"/>
    </xf>
    <xf numFmtId="0" fontId="10" fillId="4" borderId="0" xfId="18" applyFont="1" applyFill="1" applyBorder="1" applyAlignment="1">
      <alignment horizontal="center" vertical="center" wrapText="1"/>
    </xf>
    <xf numFmtId="43" fontId="10" fillId="4" borderId="0" xfId="1" applyFont="1" applyFill="1" applyBorder="1" applyAlignment="1">
      <alignment horizontal="center" vertical="center" wrapText="1"/>
    </xf>
    <xf numFmtId="43" fontId="11" fillId="4" borderId="0" xfId="1" applyFont="1" applyFill="1" applyBorder="1" applyAlignment="1">
      <alignment horizontal="center" vertical="center" wrapText="1"/>
    </xf>
    <xf numFmtId="1" fontId="7" fillId="0" borderId="0" xfId="1" applyNumberFormat="1" applyFont="1" applyBorder="1" applyAlignment="1">
      <alignment horizontal="right" vertical="center"/>
    </xf>
    <xf numFmtId="1" fontId="0" fillId="0" borderId="0" xfId="1" applyNumberFormat="1" applyFont="1" applyBorder="1" applyAlignment="1">
      <alignment horizontal="right"/>
    </xf>
    <xf numFmtId="10" fontId="0" fillId="0" borderId="0" xfId="12" applyNumberFormat="1" applyFont="1" applyBorder="1"/>
    <xf numFmtId="0" fontId="37" fillId="0" borderId="0" xfId="0" applyFont="1" applyBorder="1"/>
    <xf numFmtId="0" fontId="38" fillId="0" borderId="0" xfId="0" applyFont="1" applyBorder="1" applyAlignment="1">
      <alignment horizontal="center" vertical="center"/>
    </xf>
    <xf numFmtId="0" fontId="38" fillId="0" borderId="0" xfId="0" applyFont="1" applyBorder="1" applyAlignment="1">
      <alignment vertical="center"/>
    </xf>
    <xf numFmtId="0" fontId="28" fillId="0" borderId="0" xfId="0" applyFont="1" applyBorder="1" applyAlignment="1">
      <alignment horizontal="center" vertical="center"/>
    </xf>
    <xf numFmtId="0" fontId="28" fillId="0" borderId="0" xfId="0" applyFont="1" applyBorder="1" applyAlignment="1">
      <alignment vertical="center"/>
    </xf>
    <xf numFmtId="0" fontId="38" fillId="0" borderId="0" xfId="0" applyFont="1" applyBorder="1" applyAlignment="1">
      <alignment horizontal="right" vertical="center"/>
    </xf>
    <xf numFmtId="1" fontId="38" fillId="0" borderId="0" xfId="0" applyNumberFormat="1" applyFont="1" applyBorder="1" applyAlignment="1">
      <alignment horizontal="right" vertical="center"/>
    </xf>
    <xf numFmtId="1" fontId="28" fillId="0" borderId="0" xfId="0" applyNumberFormat="1" applyFont="1" applyBorder="1" applyAlignment="1">
      <alignment horizontal="right" vertical="center"/>
    </xf>
    <xf numFmtId="0" fontId="11" fillId="4" borderId="7" xfId="0" applyFont="1" applyFill="1" applyBorder="1"/>
    <xf numFmtId="0" fontId="10" fillId="4" borderId="5" xfId="0" applyFont="1" applyFill="1" applyBorder="1"/>
    <xf numFmtId="0" fontId="11" fillId="4" borderId="5" xfId="0" applyFont="1" applyFill="1" applyBorder="1"/>
    <xf numFmtId="0" fontId="11" fillId="4" borderId="6" xfId="0" applyFont="1" applyFill="1" applyBorder="1"/>
    <xf numFmtId="0" fontId="11" fillId="4" borderId="10" xfId="0" applyFont="1" applyFill="1" applyBorder="1"/>
    <xf numFmtId="43" fontId="10" fillId="4" borderId="11" xfId="1" applyFont="1" applyFill="1" applyBorder="1"/>
    <xf numFmtId="43" fontId="10" fillId="4" borderId="12" xfId="1" applyFont="1" applyFill="1" applyBorder="1"/>
    <xf numFmtId="0" fontId="10" fillId="4" borderId="3" xfId="0" applyFont="1" applyFill="1" applyBorder="1"/>
    <xf numFmtId="0" fontId="10" fillId="4" borderId="1" xfId="0" applyFont="1" applyFill="1" applyBorder="1"/>
    <xf numFmtId="0" fontId="10" fillId="4" borderId="4" xfId="0" applyFont="1" applyFill="1" applyBorder="1"/>
    <xf numFmtId="0" fontId="40" fillId="4" borderId="0" xfId="0" applyFont="1" applyFill="1" applyBorder="1" applyAlignment="1">
      <alignment vertical="center"/>
    </xf>
    <xf numFmtId="0" fontId="29" fillId="4" borderId="0" xfId="0" applyFont="1" applyFill="1" applyBorder="1" applyAlignment="1">
      <alignment horizontal="right" vertical="center"/>
    </xf>
    <xf numFmtId="1" fontId="29" fillId="4" borderId="0" xfId="0" applyNumberFormat="1" applyFont="1" applyFill="1" applyBorder="1" applyAlignment="1">
      <alignment horizontal="right" vertical="center"/>
    </xf>
    <xf numFmtId="0" fontId="40" fillId="4" borderId="0" xfId="0" applyFont="1" applyFill="1" applyBorder="1" applyAlignment="1">
      <alignment horizontal="center" vertical="center"/>
    </xf>
    <xf numFmtId="0" fontId="41" fillId="0" borderId="0" xfId="19"/>
    <xf numFmtId="0" fontId="8" fillId="0" borderId="0" xfId="0" applyFont="1" applyFill="1"/>
    <xf numFmtId="43" fontId="8" fillId="0" borderId="0" xfId="1" applyNumberFormat="1" applyFont="1" applyFill="1" applyAlignment="1">
      <alignment horizontal="right"/>
    </xf>
    <xf numFmtId="43" fontId="8" fillId="0" borderId="0" xfId="12" applyNumberFormat="1" applyFont="1" applyFill="1" applyAlignment="1">
      <alignment horizontal="right"/>
    </xf>
    <xf numFmtId="10" fontId="8" fillId="0" borderId="0" xfId="0" applyNumberFormat="1" applyFont="1" applyFill="1"/>
    <xf numFmtId="1" fontId="8" fillId="0" borderId="0" xfId="0" applyNumberFormat="1" applyFont="1" applyFill="1"/>
    <xf numFmtId="10" fontId="12" fillId="0" borderId="0" xfId="0" applyNumberFormat="1" applyFont="1" applyFill="1" applyBorder="1"/>
    <xf numFmtId="0" fontId="10" fillId="4" borderId="0" xfId="0" applyFont="1" applyFill="1" applyAlignment="1">
      <alignment vertical="center"/>
    </xf>
    <xf numFmtId="10" fontId="8" fillId="0" borderId="0" xfId="12" applyNumberFormat="1" applyFont="1"/>
    <xf numFmtId="0" fontId="8" fillId="0" borderId="0" xfId="0" applyFont="1" applyAlignment="1">
      <alignment horizontal="center"/>
    </xf>
    <xf numFmtId="2" fontId="8" fillId="0" borderId="0" xfId="0" applyNumberFormat="1" applyFont="1"/>
    <xf numFmtId="2" fontId="10" fillId="4" borderId="0" xfId="0" applyNumberFormat="1" applyFont="1" applyFill="1" applyAlignment="1">
      <alignment horizontal="center" vertical="center"/>
    </xf>
    <xf numFmtId="0" fontId="0" fillId="0" borderId="0" xfId="0" applyAlignment="1">
      <alignment wrapText="1"/>
    </xf>
    <xf numFmtId="0" fontId="0" fillId="0" borderId="0" xfId="0" applyAlignment="1"/>
    <xf numFmtId="0" fontId="42" fillId="0" borderId="0" xfId="0" applyFont="1"/>
    <xf numFmtId="10" fontId="0" fillId="0" borderId="0" xfId="12" applyNumberFormat="1" applyFont="1"/>
    <xf numFmtId="0" fontId="0" fillId="0" borderId="0" xfId="0" applyNumberFormat="1" applyFont="1"/>
    <xf numFmtId="170" fontId="15" fillId="0" borderId="0" xfId="0" applyNumberFormat="1" applyFont="1" applyBorder="1"/>
    <xf numFmtId="2" fontId="0" fillId="0" borderId="0" xfId="0" applyNumberFormat="1" applyFont="1"/>
    <xf numFmtId="10" fontId="0" fillId="0" borderId="0" xfId="0" applyNumberFormat="1" applyFont="1" applyBorder="1"/>
    <xf numFmtId="9" fontId="0" fillId="0" borderId="0" xfId="0" applyNumberFormat="1" applyFont="1"/>
    <xf numFmtId="15" fontId="0" fillId="0" borderId="0" xfId="0" applyNumberFormat="1"/>
    <xf numFmtId="0" fontId="43" fillId="6" borderId="0" xfId="0" applyFont="1" applyFill="1" applyBorder="1" applyAlignment="1">
      <alignment horizontal="center" vertical="center" wrapText="1"/>
    </xf>
    <xf numFmtId="2" fontId="10" fillId="4" borderId="1" xfId="0" applyNumberFormat="1" applyFont="1" applyFill="1" applyBorder="1" applyAlignment="1">
      <alignment horizontal="left" vertical="center" wrapText="1"/>
    </xf>
    <xf numFmtId="170" fontId="10" fillId="4" borderId="1" xfId="1" applyNumberFormat="1" applyFont="1" applyFill="1" applyBorder="1" applyAlignment="1">
      <alignment horizontal="center" vertical="center" wrapText="1"/>
    </xf>
    <xf numFmtId="170" fontId="10" fillId="4" borderId="1" xfId="1" applyNumberFormat="1" applyFont="1" applyFill="1" applyBorder="1" applyAlignment="1">
      <alignment horizontal="center" vertical="center"/>
    </xf>
    <xf numFmtId="0" fontId="8" fillId="0" borderId="1" xfId="0" applyFont="1" applyFill="1" applyBorder="1" applyAlignment="1"/>
    <xf numFmtId="170" fontId="8" fillId="0" borderId="1" xfId="1" applyNumberFormat="1" applyFont="1" applyFill="1" applyBorder="1" applyAlignment="1"/>
    <xf numFmtId="0" fontId="0" fillId="0" borderId="1" xfId="0" applyFont="1" applyFill="1" applyBorder="1"/>
    <xf numFmtId="0" fontId="19" fillId="0" borderId="1" xfId="0" applyFont="1" applyFill="1" applyBorder="1"/>
    <xf numFmtId="170" fontId="0" fillId="0" borderId="1" xfId="1" applyNumberFormat="1" applyFont="1" applyFill="1" applyBorder="1" applyAlignment="1">
      <alignment wrapText="1"/>
    </xf>
    <xf numFmtId="43" fontId="0" fillId="0" borderId="1" xfId="1" applyFont="1" applyFill="1" applyBorder="1" applyAlignment="1">
      <alignment horizontal="right"/>
    </xf>
    <xf numFmtId="0" fontId="0" fillId="0" borderId="1" xfId="0" applyFont="1" applyFill="1" applyBorder="1" applyAlignment="1"/>
    <xf numFmtId="43" fontId="0" fillId="0" borderId="1" xfId="0" applyNumberFormat="1" applyFont="1" applyFill="1" applyBorder="1" applyAlignment="1"/>
    <xf numFmtId="170" fontId="0" fillId="0" borderId="1" xfId="1" applyNumberFormat="1" applyFont="1" applyFill="1" applyBorder="1" applyAlignment="1"/>
    <xf numFmtId="0" fontId="24" fillId="0" borderId="1" xfId="0" applyFont="1" applyFill="1" applyBorder="1"/>
    <xf numFmtId="43" fontId="0" fillId="0" borderId="1" xfId="1" applyNumberFormat="1" applyFont="1" applyFill="1" applyBorder="1"/>
    <xf numFmtId="0" fontId="8" fillId="0" borderId="1" xfId="0" applyFont="1" applyFill="1" applyBorder="1"/>
    <xf numFmtId="43" fontId="8" fillId="0" borderId="1" xfId="1" applyFont="1" applyFill="1" applyBorder="1" applyAlignment="1">
      <alignment horizontal="right"/>
    </xf>
    <xf numFmtId="0" fontId="8" fillId="0" borderId="1" xfId="0" applyFont="1" applyFill="1" applyBorder="1" applyAlignment="1">
      <alignment horizontal="center"/>
    </xf>
    <xf numFmtId="43" fontId="8" fillId="0" borderId="1" xfId="1" applyFont="1" applyFill="1" applyBorder="1" applyAlignment="1"/>
    <xf numFmtId="43" fontId="0" fillId="0" borderId="1" xfId="1" applyFont="1" applyFill="1" applyBorder="1" applyAlignment="1">
      <alignment horizontal="center"/>
    </xf>
    <xf numFmtId="43" fontId="7" fillId="0" borderId="1" xfId="1" applyFont="1" applyFill="1" applyBorder="1"/>
    <xf numFmtId="43" fontId="7" fillId="0" borderId="1" xfId="1" applyNumberFormat="1" applyFont="1" applyFill="1" applyBorder="1"/>
    <xf numFmtId="171" fontId="0" fillId="0" borderId="1" xfId="1" applyNumberFormat="1" applyFont="1" applyFill="1" applyBorder="1" applyAlignment="1">
      <alignment horizontal="right"/>
    </xf>
    <xf numFmtId="2" fontId="0" fillId="3" borderId="1" xfId="0" applyNumberFormat="1" applyFont="1" applyFill="1" applyBorder="1"/>
    <xf numFmtId="0" fontId="12" fillId="0" borderId="1" xfId="0" applyFont="1" applyFill="1" applyBorder="1"/>
    <xf numFmtId="2" fontId="10" fillId="4" borderId="1" xfId="0" applyNumberFormat="1" applyFont="1" applyFill="1" applyBorder="1" applyAlignment="1">
      <alignment horizontal="center" vertical="center" wrapText="1"/>
    </xf>
    <xf numFmtId="2" fontId="12" fillId="0" borderId="1" xfId="0" applyNumberFormat="1" applyFont="1" applyFill="1" applyBorder="1" applyAlignment="1">
      <alignment horizontal="center" vertical="center" wrapText="1"/>
    </xf>
    <xf numFmtId="0" fontId="0" fillId="0" borderId="1" xfId="0" applyFont="1" applyFill="1" applyBorder="1" applyAlignment="1">
      <alignment wrapText="1"/>
    </xf>
    <xf numFmtId="43" fontId="0" fillId="0" borderId="1" xfId="1" applyFont="1" applyFill="1" applyBorder="1"/>
    <xf numFmtId="43" fontId="0" fillId="0" borderId="1" xfId="1" applyFont="1" applyFill="1" applyBorder="1" applyAlignment="1">
      <alignment vertical="center"/>
    </xf>
    <xf numFmtId="43" fontId="7" fillId="0" borderId="1" xfId="1" applyFont="1" applyFill="1" applyBorder="1" applyAlignment="1">
      <alignment vertical="center"/>
    </xf>
    <xf numFmtId="0" fontId="0" fillId="0" borderId="1" xfId="0" applyFont="1" applyFill="1" applyBorder="1" applyAlignment="1">
      <alignment vertical="center"/>
    </xf>
    <xf numFmtId="43" fontId="8" fillId="0" borderId="1" xfId="1" applyFont="1" applyFill="1" applyBorder="1"/>
    <xf numFmtId="43" fontId="8" fillId="0" borderId="1" xfId="1" applyFont="1" applyFill="1" applyBorder="1" applyAlignment="1">
      <alignment vertical="center"/>
    </xf>
    <xf numFmtId="170" fontId="0" fillId="0" borderId="1" xfId="1" applyNumberFormat="1" applyFont="1" applyFill="1" applyBorder="1"/>
    <xf numFmtId="0" fontId="8" fillId="0" borderId="1" xfId="0" applyFont="1" applyFill="1" applyBorder="1" applyAlignment="1">
      <alignment vertical="center"/>
    </xf>
    <xf numFmtId="2" fontId="10" fillId="4" borderId="1" xfId="0" applyNumberFormat="1" applyFont="1" applyFill="1" applyBorder="1" applyAlignment="1">
      <alignment horizontal="center" vertical="center"/>
    </xf>
    <xf numFmtId="0" fontId="8" fillId="0" borderId="1" xfId="0" applyFont="1" applyBorder="1" applyAlignment="1"/>
    <xf numFmtId="0" fontId="0" fillId="0" borderId="1" xfId="0" applyFont="1" applyBorder="1"/>
    <xf numFmtId="9" fontId="0" fillId="0" borderId="1" xfId="0" applyNumberFormat="1" applyFont="1" applyBorder="1" applyAlignment="1">
      <alignment horizontal="center"/>
    </xf>
    <xf numFmtId="43" fontId="0" fillId="0" borderId="1" xfId="1" applyFont="1" applyBorder="1"/>
    <xf numFmtId="0" fontId="8" fillId="0" borderId="1" xfId="0" applyFont="1" applyBorder="1" applyAlignment="1">
      <alignment wrapText="1"/>
    </xf>
    <xf numFmtId="10" fontId="8" fillId="0" borderId="0" xfId="0" applyNumberFormat="1" applyFont="1"/>
    <xf numFmtId="176" fontId="0" fillId="0" borderId="0" xfId="0" applyNumberFormat="1"/>
    <xf numFmtId="0" fontId="13" fillId="4" borderId="0" xfId="0" applyFont="1" applyFill="1" applyBorder="1" applyAlignment="1">
      <alignment horizontal="center"/>
    </xf>
    <xf numFmtId="0" fontId="8" fillId="0" borderId="1" xfId="0" applyFont="1" applyFill="1" applyBorder="1" applyAlignment="1">
      <alignment horizontal="center" vertical="top"/>
    </xf>
    <xf numFmtId="170" fontId="0" fillId="0" borderId="1" xfId="1" applyNumberFormat="1" applyFont="1" applyFill="1" applyBorder="1" applyAlignment="1">
      <alignment horizontal="center"/>
    </xf>
    <xf numFmtId="0" fontId="0" fillId="0" borderId="1" xfId="0" applyFont="1" applyFill="1" applyBorder="1" applyAlignment="1">
      <alignment horizontal="center"/>
    </xf>
    <xf numFmtId="0" fontId="10" fillId="4" borderId="1" xfId="0" applyFont="1" applyFill="1" applyBorder="1" applyAlignment="1">
      <alignment horizontal="center" vertical="center"/>
    </xf>
    <xf numFmtId="2" fontId="10" fillId="4" borderId="1" xfId="0" applyNumberFormat="1" applyFont="1" applyFill="1" applyBorder="1" applyAlignment="1">
      <alignment horizontal="left" vertical="center" wrapText="1"/>
    </xf>
    <xf numFmtId="0" fontId="10" fillId="4" borderId="0" xfId="0" applyFont="1" applyFill="1" applyBorder="1" applyAlignment="1">
      <alignment horizontal="center"/>
    </xf>
    <xf numFmtId="2" fontId="10" fillId="4" borderId="1" xfId="0" applyNumberFormat="1" applyFont="1" applyFill="1" applyBorder="1" applyAlignment="1">
      <alignment horizontal="center" vertical="center" wrapText="1"/>
    </xf>
    <xf numFmtId="0" fontId="10" fillId="4" borderId="0"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20" fillId="4" borderId="0" xfId="0" applyFont="1" applyFill="1" applyBorder="1" applyAlignment="1">
      <alignment horizontal="left" vertical="center"/>
    </xf>
    <xf numFmtId="0" fontId="25" fillId="5" borderId="0" xfId="0" applyFont="1" applyFill="1" applyBorder="1" applyAlignment="1">
      <alignment horizontal="center"/>
    </xf>
    <xf numFmtId="0" fontId="37" fillId="0" borderId="0" xfId="0" applyFont="1" applyBorder="1" applyAlignment="1">
      <alignment horizontal="center"/>
    </xf>
    <xf numFmtId="0" fontId="29" fillId="4" borderId="0" xfId="0" applyFont="1" applyFill="1" applyBorder="1" applyAlignment="1">
      <alignment horizontal="center" vertical="center"/>
    </xf>
    <xf numFmtId="0" fontId="39" fillId="4" borderId="0" xfId="0" applyFont="1" applyFill="1" applyAlignment="1">
      <alignment horizontal="center"/>
    </xf>
    <xf numFmtId="2" fontId="13" fillId="4" borderId="1" xfId="0" applyNumberFormat="1" applyFont="1" applyFill="1" applyBorder="1" applyAlignment="1">
      <alignment horizontal="left" vertical="center" wrapText="1"/>
    </xf>
    <xf numFmtId="2" fontId="13" fillId="4" borderId="1" xfId="0" applyNumberFormat="1" applyFont="1" applyFill="1" applyBorder="1" applyAlignment="1">
      <alignment horizontal="center" vertical="center" wrapText="1"/>
    </xf>
    <xf numFmtId="2" fontId="16" fillId="0" borderId="1" xfId="0" applyNumberFormat="1" applyFont="1" applyFill="1" applyBorder="1" applyAlignment="1">
      <alignment horizontal="left" vertical="center" wrapText="1"/>
    </xf>
    <xf numFmtId="2" fontId="16" fillId="0" borderId="1" xfId="0" applyNumberFormat="1" applyFont="1" applyFill="1" applyBorder="1" applyAlignment="1">
      <alignment horizontal="center" vertical="center" wrapText="1"/>
    </xf>
    <xf numFmtId="2" fontId="17" fillId="0" borderId="1" xfId="0" applyNumberFormat="1" applyFont="1" applyFill="1" applyBorder="1" applyAlignment="1">
      <alignment horizontal="left" vertical="center" wrapText="1"/>
    </xf>
    <xf numFmtId="43" fontId="18" fillId="0" borderId="1" xfId="1" applyFont="1" applyFill="1" applyBorder="1" applyAlignment="1">
      <alignment horizontal="center" vertical="center"/>
    </xf>
    <xf numFmtId="43" fontId="15" fillId="0" borderId="1" xfId="1" applyFont="1" applyFill="1" applyBorder="1" applyAlignment="1">
      <alignment horizontal="center" vertical="center"/>
    </xf>
    <xf numFmtId="2" fontId="17" fillId="2" borderId="1" xfId="0" applyNumberFormat="1" applyFont="1" applyFill="1" applyBorder="1" applyAlignment="1">
      <alignment horizontal="left" vertical="center" wrapText="1"/>
    </xf>
    <xf numFmtId="43" fontId="18" fillId="2" borderId="1" xfId="1" applyFont="1" applyFill="1" applyBorder="1" applyAlignment="1">
      <alignment horizontal="center" vertical="center"/>
    </xf>
    <xf numFmtId="43" fontId="18" fillId="0" borderId="1" xfId="1" applyFont="1" applyBorder="1" applyAlignment="1">
      <alignment horizontal="center" vertical="center"/>
    </xf>
    <xf numFmtId="0" fontId="18" fillId="0" borderId="1" xfId="0" applyFont="1" applyBorder="1"/>
    <xf numFmtId="9" fontId="15" fillId="0" borderId="1" xfId="1" applyNumberFormat="1" applyFont="1" applyFill="1" applyBorder="1" applyAlignment="1">
      <alignment horizontal="center" vertical="center"/>
    </xf>
    <xf numFmtId="0" fontId="17" fillId="2" borderId="1" xfId="0" applyFont="1" applyFill="1" applyBorder="1" applyAlignment="1">
      <alignment vertical="top" wrapText="1"/>
    </xf>
    <xf numFmtId="2" fontId="17" fillId="2" borderId="1" xfId="0" applyNumberFormat="1" applyFont="1" applyFill="1" applyBorder="1" applyAlignment="1">
      <alignment horizontal="center" vertical="center" wrapText="1"/>
    </xf>
    <xf numFmtId="2" fontId="17" fillId="2" borderId="1" xfId="0" applyNumberFormat="1" applyFont="1" applyFill="1" applyBorder="1" applyAlignment="1">
      <alignment vertical="center" wrapText="1"/>
    </xf>
    <xf numFmtId="0" fontId="17" fillId="0" borderId="1" xfId="0" applyFont="1" applyFill="1" applyBorder="1" applyAlignment="1">
      <alignment vertical="top" wrapText="1"/>
    </xf>
    <xf numFmtId="0" fontId="17" fillId="0" borderId="1" xfId="0" applyFont="1" applyFill="1" applyBorder="1" applyAlignment="1">
      <alignment horizontal="center" vertical="center" wrapText="1"/>
    </xf>
    <xf numFmtId="0" fontId="16" fillId="0" borderId="1" xfId="0" applyFont="1" applyFill="1" applyBorder="1" applyAlignment="1">
      <alignment vertical="top" wrapText="1"/>
    </xf>
    <xf numFmtId="43" fontId="16" fillId="0" borderId="1" xfId="1" applyFont="1" applyFill="1" applyBorder="1" applyAlignment="1">
      <alignment horizontal="center" vertical="center" wrapText="1"/>
    </xf>
    <xf numFmtId="0" fontId="16" fillId="0" borderId="1" xfId="0" applyFont="1" applyFill="1" applyBorder="1" applyAlignment="1">
      <alignment horizontal="center" vertical="center" wrapText="1"/>
    </xf>
    <xf numFmtId="43" fontId="17" fillId="0" borderId="1" xfId="1" applyFont="1" applyFill="1" applyBorder="1" applyAlignment="1">
      <alignment horizontal="center" vertical="center" wrapText="1"/>
    </xf>
    <xf numFmtId="43" fontId="17" fillId="0" borderId="1" xfId="1" applyFont="1" applyFill="1" applyBorder="1" applyAlignment="1">
      <alignment horizontal="center" vertical="center"/>
    </xf>
    <xf numFmtId="43" fontId="0" fillId="3" borderId="0" xfId="0" applyNumberFormat="1" applyFont="1" applyFill="1" applyBorder="1"/>
  </cellXfs>
  <cellStyles count="20">
    <cellStyle name="Comma" xfId="1" builtinId="3"/>
    <cellStyle name="Comma 2" xfId="2"/>
    <cellStyle name="Comma 3" xfId="3"/>
    <cellStyle name="Comma 4" xfId="4"/>
    <cellStyle name="Date" xfId="5"/>
    <cellStyle name="Excel Built-in Normal" xfId="18"/>
    <cellStyle name="Fixed" xfId="6"/>
    <cellStyle name="Heading1" xfId="7"/>
    <cellStyle name="Heading2" xfId="8"/>
    <cellStyle name="Hyperlink" xfId="19" builtinId="8"/>
    <cellStyle name="Normal" xfId="0" builtinId="0"/>
    <cellStyle name="Normal 2" xfId="9"/>
    <cellStyle name="Normal 3" xfId="10"/>
    <cellStyle name="Normal 3 2" xfId="11"/>
    <cellStyle name="Percent" xfId="12" builtinId="5"/>
    <cellStyle name="Percent 2" xfId="13"/>
    <cellStyle name="Percent 3" xfId="14"/>
    <cellStyle name="Percent 4" xfId="15"/>
    <cellStyle name="Percent 5" xfId="16"/>
    <cellStyle name="Percent 5 2" xfId="1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b="1">
                <a:solidFill>
                  <a:schemeClr val="bg1"/>
                </a:solidFill>
              </a:rPr>
              <a:t>Revenue Y-o-Y</a:t>
            </a:r>
          </a:p>
        </c:rich>
      </c:tx>
      <c:layout/>
      <c:overlay val="0"/>
      <c:spPr>
        <a:solidFill>
          <a:srgbClr val="002060"/>
        </a:solid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PL!$B$75</c:f>
              <c:strCache>
                <c:ptCount val="1"/>
                <c:pt idx="0">
                  <c:v>Revenue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ot"/>
              </a:ln>
              <a:effectLst/>
            </c:spPr>
            <c:trendlineType val="linear"/>
            <c:dispRSqr val="0"/>
            <c:dispEq val="0"/>
          </c:trendline>
          <c:cat>
            <c:strRef>
              <c:f>PL!$C$73:$J$73</c:f>
              <c:strCache>
                <c:ptCount val="8"/>
                <c:pt idx="0">
                  <c:v>2021-22</c:v>
                </c:pt>
                <c:pt idx="1">
                  <c:v>2022-23</c:v>
                </c:pt>
                <c:pt idx="2">
                  <c:v>2023-24</c:v>
                </c:pt>
                <c:pt idx="3">
                  <c:v>2024-25</c:v>
                </c:pt>
                <c:pt idx="4">
                  <c:v>2025-26</c:v>
                </c:pt>
                <c:pt idx="5">
                  <c:v>2026-27</c:v>
                </c:pt>
                <c:pt idx="6">
                  <c:v>2027-28</c:v>
                </c:pt>
                <c:pt idx="7">
                  <c:v>2028-29</c:v>
                </c:pt>
              </c:strCache>
            </c:strRef>
          </c:cat>
          <c:val>
            <c:numRef>
              <c:f>PL!$C$75:$J$75</c:f>
              <c:numCache>
                <c:formatCode>_(* #,##0.00_);_(* \(#,##0.00\);_(* "-"??_);_(@_)</c:formatCode>
                <c:ptCount val="8"/>
                <c:pt idx="0">
                  <c:v>0</c:v>
                </c:pt>
                <c:pt idx="1">
                  <c:v>1207.44</c:v>
                </c:pt>
                <c:pt idx="2">
                  <c:v>2637.45</c:v>
                </c:pt>
                <c:pt idx="3">
                  <c:v>2935.71</c:v>
                </c:pt>
                <c:pt idx="4">
                  <c:v>3127.1400000000008</c:v>
                </c:pt>
                <c:pt idx="5">
                  <c:v>3321.4500000000007</c:v>
                </c:pt>
                <c:pt idx="6">
                  <c:v>3519.3600000000006</c:v>
                </c:pt>
                <c:pt idx="7">
                  <c:v>3720.8700000000013</c:v>
                </c:pt>
              </c:numCache>
            </c:numRef>
          </c:val>
        </c:ser>
        <c:dLbls>
          <c:dLblPos val="outEnd"/>
          <c:showLegendKey val="0"/>
          <c:showVal val="1"/>
          <c:showCatName val="0"/>
          <c:showSerName val="0"/>
          <c:showPercent val="0"/>
          <c:showBubbleSize val="0"/>
        </c:dLbls>
        <c:gapWidth val="219"/>
        <c:overlap val="-27"/>
        <c:axId val="1451042464"/>
        <c:axId val="1451044640"/>
      </c:barChart>
      <c:catAx>
        <c:axId val="145104246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N" b="1"/>
                  <a:t>Financial</a:t>
                </a:r>
                <a:r>
                  <a:rPr lang="en-IN" b="1" baseline="0"/>
                  <a:t> Years</a:t>
                </a:r>
                <a:endParaRPr lang="en-IN" b="1"/>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51044640"/>
        <c:crosses val="autoZero"/>
        <c:auto val="1"/>
        <c:lblAlgn val="ctr"/>
        <c:lblOffset val="100"/>
        <c:noMultiLvlLbl val="0"/>
      </c:catAx>
      <c:valAx>
        <c:axId val="145104464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N"/>
                  <a:t>Revenue</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510424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b="1">
                <a:solidFill>
                  <a:schemeClr val="bg1"/>
                </a:solidFill>
              </a:rPr>
              <a:t>Revenue growth %</a:t>
            </a:r>
          </a:p>
        </c:rich>
      </c:tx>
      <c:layout/>
      <c:overlay val="0"/>
      <c:spPr>
        <a:solidFill>
          <a:srgbClr val="002060"/>
        </a:solid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PL!$B$77</c:f>
              <c:strCache>
                <c:ptCount val="1"/>
                <c:pt idx="0">
                  <c:v>Revenue growth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ot"/>
              </a:ln>
              <a:effectLst/>
            </c:spPr>
            <c:trendlineType val="linear"/>
            <c:dispRSqr val="0"/>
            <c:dispEq val="0"/>
          </c:trendline>
          <c:cat>
            <c:strRef>
              <c:f>PL!$C$73:$J$73</c:f>
              <c:strCache>
                <c:ptCount val="8"/>
                <c:pt idx="0">
                  <c:v>2021-22</c:v>
                </c:pt>
                <c:pt idx="1">
                  <c:v>2022-23</c:v>
                </c:pt>
                <c:pt idx="2">
                  <c:v>2023-24</c:v>
                </c:pt>
                <c:pt idx="3">
                  <c:v>2024-25</c:v>
                </c:pt>
                <c:pt idx="4">
                  <c:v>2025-26</c:v>
                </c:pt>
                <c:pt idx="5">
                  <c:v>2026-27</c:v>
                </c:pt>
                <c:pt idx="6">
                  <c:v>2027-28</c:v>
                </c:pt>
                <c:pt idx="7">
                  <c:v>2028-29</c:v>
                </c:pt>
              </c:strCache>
            </c:strRef>
          </c:cat>
          <c:val>
            <c:numRef>
              <c:f>PL!$C$77:$J$77</c:f>
              <c:numCache>
                <c:formatCode>_(* #,##0.00_);_(* \(#,##0.00\);_(* "-"??_);_(@_)</c:formatCode>
                <c:ptCount val="8"/>
                <c:pt idx="2" formatCode="0.00%">
                  <c:v>1.1843321407274892</c:v>
                </c:pt>
                <c:pt idx="3" formatCode="0.00%">
                  <c:v>0.11308650400955478</c:v>
                </c:pt>
                <c:pt idx="4" formatCode="0.00%">
                  <c:v>6.5207394463349777E-2</c:v>
                </c:pt>
                <c:pt idx="5" formatCode="0.00%">
                  <c:v>6.2136648822886054E-2</c:v>
                </c:pt>
                <c:pt idx="6" formatCode="0.00%">
                  <c:v>5.9585422029535318E-2</c:v>
                </c:pt>
                <c:pt idx="7" formatCode="0.00%">
                  <c:v>5.7257569558101684E-2</c:v>
                </c:pt>
              </c:numCache>
            </c:numRef>
          </c:val>
        </c:ser>
        <c:dLbls>
          <c:dLblPos val="outEnd"/>
          <c:showLegendKey val="0"/>
          <c:showVal val="1"/>
          <c:showCatName val="0"/>
          <c:showSerName val="0"/>
          <c:showPercent val="0"/>
          <c:showBubbleSize val="0"/>
        </c:dLbls>
        <c:gapWidth val="219"/>
        <c:overlap val="-27"/>
        <c:axId val="1451040832"/>
        <c:axId val="1451049536"/>
      </c:barChart>
      <c:catAx>
        <c:axId val="145104083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N" b="1"/>
                  <a:t>For</a:t>
                </a:r>
                <a:r>
                  <a:rPr lang="en-IN" b="1" baseline="0"/>
                  <a:t> the year</a:t>
                </a:r>
                <a:endParaRPr lang="en-IN" b="1"/>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51049536"/>
        <c:crosses val="autoZero"/>
        <c:auto val="1"/>
        <c:lblAlgn val="ctr"/>
        <c:lblOffset val="100"/>
        <c:noMultiLvlLbl val="0"/>
      </c:catAx>
      <c:valAx>
        <c:axId val="145104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N" baseline="0"/>
                  <a:t>%  growth rate </a:t>
                </a:r>
                <a:endParaRPr lang="en-IN"/>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5104083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b="1">
                <a:solidFill>
                  <a:schemeClr val="bg1"/>
                </a:solidFill>
              </a:rPr>
              <a:t>EBITDA Margin %</a:t>
            </a:r>
          </a:p>
        </c:rich>
      </c:tx>
      <c:layout/>
      <c:overlay val="0"/>
      <c:spPr>
        <a:solidFill>
          <a:srgbClr val="002060"/>
        </a:solid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PL!$B$81</c:f>
              <c:strCache>
                <c:ptCount val="1"/>
                <c:pt idx="0">
                  <c:v>EBITDA Margin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ot"/>
              </a:ln>
              <a:effectLst/>
            </c:spPr>
            <c:trendlineType val="linear"/>
            <c:dispRSqr val="0"/>
            <c:dispEq val="0"/>
          </c:trendline>
          <c:cat>
            <c:strRef>
              <c:f>PL!$C$73:$J$73</c:f>
              <c:strCache>
                <c:ptCount val="8"/>
                <c:pt idx="0">
                  <c:v>2021-22</c:v>
                </c:pt>
                <c:pt idx="1">
                  <c:v>2022-23</c:v>
                </c:pt>
                <c:pt idx="2">
                  <c:v>2023-24</c:v>
                </c:pt>
                <c:pt idx="3">
                  <c:v>2024-25</c:v>
                </c:pt>
                <c:pt idx="4">
                  <c:v>2025-26</c:v>
                </c:pt>
                <c:pt idx="5">
                  <c:v>2026-27</c:v>
                </c:pt>
                <c:pt idx="6">
                  <c:v>2027-28</c:v>
                </c:pt>
                <c:pt idx="7">
                  <c:v>2028-29</c:v>
                </c:pt>
              </c:strCache>
            </c:strRef>
          </c:cat>
          <c:val>
            <c:numRef>
              <c:f>PL!$C$81:$J$81</c:f>
              <c:numCache>
                <c:formatCode>0.00%</c:formatCode>
                <c:ptCount val="8"/>
                <c:pt idx="0" formatCode="General">
                  <c:v>0</c:v>
                </c:pt>
                <c:pt idx="1">
                  <c:v>4.9644205923275987E-2</c:v>
                </c:pt>
                <c:pt idx="2">
                  <c:v>5.6642798915619096E-2</c:v>
                </c:pt>
                <c:pt idx="3">
                  <c:v>8.0584894284517178E-2</c:v>
                </c:pt>
                <c:pt idx="4">
                  <c:v>9.6261775935839261E-2</c:v>
                </c:pt>
                <c:pt idx="5">
                  <c:v>0.10840539335230107</c:v>
                </c:pt>
                <c:pt idx="6">
                  <c:v>0.12610193232576378</c:v>
                </c:pt>
                <c:pt idx="7">
                  <c:v>0.14916046524955892</c:v>
                </c:pt>
              </c:numCache>
            </c:numRef>
          </c:val>
        </c:ser>
        <c:dLbls>
          <c:dLblPos val="outEnd"/>
          <c:showLegendKey val="0"/>
          <c:showVal val="1"/>
          <c:showCatName val="0"/>
          <c:showSerName val="0"/>
          <c:showPercent val="0"/>
          <c:showBubbleSize val="0"/>
        </c:dLbls>
        <c:gapWidth val="219"/>
        <c:overlap val="-27"/>
        <c:axId val="1451046272"/>
        <c:axId val="1451041376"/>
      </c:barChart>
      <c:catAx>
        <c:axId val="145104627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N"/>
                  <a:t>For</a:t>
                </a:r>
                <a:r>
                  <a:rPr lang="en-IN" baseline="0"/>
                  <a:t> the financial year</a:t>
                </a:r>
                <a:endParaRPr lang="en-IN"/>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51041376"/>
        <c:crosses val="autoZero"/>
        <c:auto val="1"/>
        <c:lblAlgn val="ctr"/>
        <c:lblOffset val="100"/>
        <c:noMultiLvlLbl val="0"/>
      </c:catAx>
      <c:valAx>
        <c:axId val="145104137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N"/>
                  <a:t>EBITDA</a:t>
                </a:r>
                <a:r>
                  <a:rPr lang="en-IN" baseline="0"/>
                  <a:t> Margin %</a:t>
                </a:r>
                <a:endParaRPr lang="en-IN"/>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510462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1" i="0" u="none" strike="noStrike" kern="1200" spc="0" baseline="0">
                <a:solidFill>
                  <a:schemeClr val="bg1"/>
                </a:solidFill>
                <a:latin typeface="+mn-lt"/>
                <a:ea typeface="+mn-ea"/>
                <a:cs typeface="+mn-cs"/>
              </a:defRPr>
            </a:pPr>
            <a:r>
              <a:rPr lang="en-US" b="1">
                <a:solidFill>
                  <a:schemeClr val="bg1"/>
                </a:solidFill>
              </a:rPr>
              <a:t>DSCR</a:t>
            </a:r>
          </a:p>
        </c:rich>
      </c:tx>
      <c:layout/>
      <c:overlay val="0"/>
      <c:spPr>
        <a:solidFill>
          <a:srgbClr val="002060"/>
        </a:solidFill>
        <a:ln>
          <a:noFill/>
        </a:ln>
        <a:effectLst/>
      </c:spPr>
      <c:txPr>
        <a:bodyPr rot="0" spcFirstLastPara="1" vertOverflow="ellipsis" vert="horz" wrap="square" anchor="ctr" anchorCtr="1"/>
        <a:lstStyle/>
        <a:p>
          <a:pPr>
            <a:defRPr sz="1260" b="1" i="0" u="none" strike="noStrike" kern="1200" spc="0" baseline="0">
              <a:solidFill>
                <a:schemeClr val="bg1"/>
              </a:solidFill>
              <a:latin typeface="+mn-lt"/>
              <a:ea typeface="+mn-ea"/>
              <a:cs typeface="+mn-cs"/>
            </a:defRPr>
          </a:pPr>
          <a:endParaRPr lang="en-US"/>
        </a:p>
      </c:txPr>
    </c:title>
    <c:autoTitleDeleted val="0"/>
    <c:plotArea>
      <c:layout/>
      <c:barChart>
        <c:barDir val="col"/>
        <c:grouping val="clustered"/>
        <c:varyColors val="0"/>
        <c:ser>
          <c:idx val="0"/>
          <c:order val="0"/>
          <c:tx>
            <c:strRef>
              <c:f>PL!$B$91</c:f>
              <c:strCache>
                <c:ptCount val="1"/>
                <c:pt idx="0">
                  <c:v>DSCR</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05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ot"/>
              </a:ln>
              <a:effectLst/>
            </c:spPr>
            <c:trendlineType val="linear"/>
            <c:dispRSqr val="0"/>
            <c:dispEq val="0"/>
          </c:trendline>
          <c:cat>
            <c:strRef>
              <c:f>PL!$C$73:$J$73</c:f>
              <c:strCache>
                <c:ptCount val="8"/>
                <c:pt idx="0">
                  <c:v>2021-22</c:v>
                </c:pt>
                <c:pt idx="1">
                  <c:v>2022-23</c:v>
                </c:pt>
                <c:pt idx="2">
                  <c:v>2023-24</c:v>
                </c:pt>
                <c:pt idx="3">
                  <c:v>2024-25</c:v>
                </c:pt>
                <c:pt idx="4">
                  <c:v>2025-26</c:v>
                </c:pt>
                <c:pt idx="5">
                  <c:v>2026-27</c:v>
                </c:pt>
                <c:pt idx="6">
                  <c:v>2027-28</c:v>
                </c:pt>
                <c:pt idx="7">
                  <c:v>2028-29</c:v>
                </c:pt>
              </c:strCache>
            </c:strRef>
          </c:cat>
          <c:val>
            <c:numRef>
              <c:f>PL!$C$91:$J$91</c:f>
              <c:numCache>
                <c:formatCode>_(* #,##0.00_);_(* \(#,##0.00\);_(* "-"??_);_(@_)</c:formatCode>
                <c:ptCount val="8"/>
                <c:pt idx="0">
                  <c:v>0</c:v>
                </c:pt>
                <c:pt idx="1">
                  <c:v>4.8787682760443006E-3</c:v>
                </c:pt>
                <c:pt idx="2">
                  <c:v>0.2104639502726042</c:v>
                </c:pt>
                <c:pt idx="3">
                  <c:v>0.61638872754869645</c:v>
                </c:pt>
                <c:pt idx="4">
                  <c:v>1.3377443913669083</c:v>
                </c:pt>
                <c:pt idx="5">
                  <c:v>4.1823784432829498</c:v>
                </c:pt>
                <c:pt idx="6">
                  <c:v>11.82708679509893</c:v>
                </c:pt>
                <c:pt idx="7">
                  <c:v>19.549797805019267</c:v>
                </c:pt>
              </c:numCache>
            </c:numRef>
          </c:val>
        </c:ser>
        <c:dLbls>
          <c:dLblPos val="outEnd"/>
          <c:showLegendKey val="0"/>
          <c:showVal val="1"/>
          <c:showCatName val="0"/>
          <c:showSerName val="0"/>
          <c:showPercent val="0"/>
          <c:showBubbleSize val="0"/>
        </c:dLbls>
        <c:gapWidth val="219"/>
        <c:overlap val="-27"/>
        <c:axId val="1451046816"/>
        <c:axId val="1451047360"/>
      </c:barChart>
      <c:catAx>
        <c:axId val="1451046816"/>
        <c:scaling>
          <c:orientation val="minMax"/>
        </c:scaling>
        <c:delete val="0"/>
        <c:axPos val="b"/>
        <c:title>
          <c:tx>
            <c:rich>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r>
                  <a:rPr lang="en-IN"/>
                  <a:t>For the year</a:t>
                </a:r>
              </a:p>
            </c:rich>
          </c:tx>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1451047360"/>
        <c:crosses val="autoZero"/>
        <c:auto val="1"/>
        <c:lblAlgn val="ctr"/>
        <c:lblOffset val="100"/>
        <c:noMultiLvlLbl val="0"/>
      </c:catAx>
      <c:valAx>
        <c:axId val="145104736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r>
                  <a:rPr lang="en-IN"/>
                  <a:t>DSCR</a:t>
                </a:r>
              </a:p>
            </c:rich>
          </c:tx>
          <c:layout/>
          <c:overlay val="0"/>
          <c:spPr>
            <a:noFill/>
            <a:ln>
              <a:noFill/>
            </a:ln>
            <a:effectLst/>
          </c:spPr>
          <c:txPr>
            <a:bodyPr rot="-54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14510468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50"/>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b="1">
                <a:solidFill>
                  <a:schemeClr val="bg1"/>
                </a:solidFill>
              </a:rPr>
              <a:t>ISCR = EBIT/Interest</a:t>
            </a:r>
          </a:p>
        </c:rich>
      </c:tx>
      <c:layout/>
      <c:overlay val="0"/>
      <c:spPr>
        <a:solidFill>
          <a:srgbClr val="002060"/>
        </a:solid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PL!$B$93</c:f>
              <c:strCache>
                <c:ptCount val="1"/>
                <c:pt idx="0">
                  <c:v>ISCR = EBIT/Interest</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ot"/>
              </a:ln>
              <a:effectLst/>
            </c:spPr>
            <c:trendlineType val="linear"/>
            <c:dispRSqr val="0"/>
            <c:dispEq val="0"/>
          </c:trendline>
          <c:cat>
            <c:strRef>
              <c:f>PL!$C$73:$J$73</c:f>
              <c:strCache>
                <c:ptCount val="8"/>
                <c:pt idx="0">
                  <c:v>2021-22</c:v>
                </c:pt>
                <c:pt idx="1">
                  <c:v>2022-23</c:v>
                </c:pt>
                <c:pt idx="2">
                  <c:v>2023-24</c:v>
                </c:pt>
                <c:pt idx="3">
                  <c:v>2024-25</c:v>
                </c:pt>
                <c:pt idx="4">
                  <c:v>2025-26</c:v>
                </c:pt>
                <c:pt idx="5">
                  <c:v>2026-27</c:v>
                </c:pt>
                <c:pt idx="6">
                  <c:v>2027-28</c:v>
                </c:pt>
                <c:pt idx="7">
                  <c:v>2028-29</c:v>
                </c:pt>
              </c:strCache>
            </c:strRef>
          </c:cat>
          <c:val>
            <c:numRef>
              <c:f>PL!$C$93:$J$93</c:f>
              <c:numCache>
                <c:formatCode>0.00</c:formatCode>
                <c:ptCount val="8"/>
                <c:pt idx="0">
                  <c:v>0</c:v>
                </c:pt>
                <c:pt idx="1">
                  <c:v>-0.83844367413490528</c:v>
                </c:pt>
                <c:pt idx="2">
                  <c:v>0.86862616910722124</c:v>
                </c:pt>
                <c:pt idx="3">
                  <c:v>2.689621305039787</c:v>
                </c:pt>
                <c:pt idx="4">
                  <c:v>3.982708647214861</c:v>
                </c:pt>
                <c:pt idx="5">
                  <c:v>5.877471125226867</c:v>
                </c:pt>
                <c:pt idx="6">
                  <c:v>7.662410008529946</c:v>
                </c:pt>
                <c:pt idx="7">
                  <c:v>11.52757673409087</c:v>
                </c:pt>
              </c:numCache>
            </c:numRef>
          </c:val>
        </c:ser>
        <c:dLbls>
          <c:dLblPos val="outEnd"/>
          <c:showLegendKey val="0"/>
          <c:showVal val="1"/>
          <c:showCatName val="0"/>
          <c:showSerName val="0"/>
          <c:showPercent val="0"/>
          <c:showBubbleSize val="0"/>
        </c:dLbls>
        <c:gapWidth val="219"/>
        <c:overlap val="-27"/>
        <c:axId val="1451048448"/>
        <c:axId val="1451050080"/>
      </c:barChart>
      <c:catAx>
        <c:axId val="145104844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N"/>
                  <a:t>For</a:t>
                </a:r>
                <a:r>
                  <a:rPr lang="en-IN" baseline="0"/>
                  <a:t> the year</a:t>
                </a:r>
                <a:endParaRPr lang="en-IN"/>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51050080"/>
        <c:crosses val="autoZero"/>
        <c:auto val="1"/>
        <c:lblAlgn val="ctr"/>
        <c:lblOffset val="100"/>
        <c:noMultiLvlLbl val="0"/>
      </c:catAx>
      <c:valAx>
        <c:axId val="14510500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N"/>
                  <a:t>ISCR</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5104844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425" b="1" i="0" u="none" strike="noStrike" baseline="0">
                <a:solidFill>
                  <a:srgbClr val="000000"/>
                </a:solidFill>
                <a:latin typeface="Arial"/>
                <a:ea typeface="Arial"/>
                <a:cs typeface="Arial"/>
              </a:defRPr>
            </a:pPr>
            <a:r>
              <a:rPr lang="en-US"/>
              <a:t>MEANS OF FINANCE</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explosion val="25"/>
          <c:val>
            <c:numRef>
              <c:f>DETAIL!#REF!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0-3B87-4707-8612-DC430A68FB46}"/>
            </c:ext>
            <c:ext xmlns:c15="http://schemas.microsoft.com/office/drawing/2012/chart" uri="{02D57815-91ED-43cb-92C2-25804820EDAC}">
              <c15:filteredCategoryTitle>
                <c15:cat>
                  <c:numRef>
                    <c:extLst xmlns:c16="http://schemas.microsoft.com/office/drawing/2014/chart" xmlns:c16r2="http://schemas.microsoft.com/office/drawing/2015/06/chart">
                      <c:ext uri="{02D57815-91ED-43cb-92C2-25804820EDAC}">
                        <c15:formulaRef>
                          <c15:sqref>DETAIL!#REF!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showLeaderLines val="1"/>
        </c:dLbls>
        <c:firstSliceAng val="180"/>
      </c:pieChart>
      <c:spPr>
        <a:noFill/>
        <a:ln w="25400">
          <a:noFill/>
        </a:ln>
      </c:spPr>
    </c:plotArea>
    <c:legend>
      <c:legendPos val="r"/>
      <c:overlay val="0"/>
      <c:spPr>
        <a:solidFill>
          <a:srgbClr val="FFFFFF"/>
        </a:solidFill>
        <a:ln w="3175">
          <a:solidFill>
            <a:srgbClr val="000000"/>
          </a:solidFill>
          <a:prstDash val="solid"/>
        </a:ln>
      </c:spPr>
      <c:txPr>
        <a:bodyPr/>
        <a:lstStyle/>
        <a:p>
          <a:pPr rtl="0">
            <a:defRPr sz="3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350" b="0" i="0" u="none" strike="noStrike" baseline="0">
          <a:solidFill>
            <a:srgbClr val="000000"/>
          </a:solidFill>
          <a:latin typeface="Arial"/>
          <a:ea typeface="Arial"/>
          <a:cs typeface="Arial"/>
        </a:defRPr>
      </a:pPr>
      <a:endParaRPr lang="en-US"/>
    </a:p>
  </c:txPr>
  <c:printSettings>
    <c:headerFooter alignWithMargins="0"/>
    <c:pageMargins b="1" l="0.75000000000000444" r="0.75000000000000444" t="1" header="0.5" footer="0.5"/>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lgn="ctr" rtl="1">
            <a:defRPr sz="350" b="0" i="0" u="none" strike="noStrike" baseline="0">
              <a:solidFill>
                <a:srgbClr val="000000"/>
              </a:solidFill>
              <a:latin typeface="Arial"/>
              <a:ea typeface="Arial"/>
              <a:cs typeface="Arial"/>
            </a:defRPr>
          </a:pPr>
          <a:endParaRPr lang="en-US"/>
        </a:p>
      </c:txPr>
    </c:title>
    <c:autoTitleDeleted val="0"/>
    <c:plotArea>
      <c:layout/>
      <c:pieChart>
        <c:varyColors val="1"/>
        <c:ser>
          <c:idx val="0"/>
          <c:order val="0"/>
          <c:spPr>
            <a:solidFill>
              <a:srgbClr val="9999FF"/>
            </a:solidFill>
            <a:ln w="12700">
              <a:solidFill>
                <a:srgbClr val="000000"/>
              </a:solidFill>
              <a:prstDash val="solid"/>
            </a:ln>
          </c:spPr>
          <c:dPt>
            <c:idx val="0"/>
            <c:bubble3D val="0"/>
            <c:spPr>
              <a:pattFill prst="pct90">
                <a:fgClr>
                  <a:srgbClr val="000000"/>
                </a:fgClr>
                <a:bgClr>
                  <a:srgbClr val="FFFFFF"/>
                </a:bgClr>
              </a:pattFill>
              <a:ln w="12700">
                <a:solidFill>
                  <a:srgbClr val="000000"/>
                </a:solidFill>
                <a:prstDash val="solid"/>
              </a:ln>
            </c:spPr>
            <c:extLst xmlns:c16r2="http://schemas.microsoft.com/office/drawing/2015/06/chart">
              <c:ext xmlns:c16="http://schemas.microsoft.com/office/drawing/2014/chart" uri="{C3380CC4-5D6E-409C-BE32-E72D297353CC}">
                <c16:uniqueId val="{00000000-1A6B-4A22-B71C-7E16B708236D}"/>
              </c:ext>
            </c:extLst>
          </c:dPt>
          <c:dLbls>
            <c:numFmt formatCode="0%" sourceLinked="0"/>
            <c:spPr>
              <a:noFill/>
              <a:ln w="25400">
                <a:noFill/>
              </a:ln>
            </c:spPr>
            <c:txPr>
              <a:bodyPr/>
              <a:lstStyle/>
              <a:p>
                <a:pPr>
                  <a:defRPr sz="350" b="0" i="0" u="none" strike="noStrike" baseline="0">
                    <a:solidFill>
                      <a:srgbClr val="000000"/>
                    </a:solidFill>
                    <a:latin typeface="Arial"/>
                    <a:ea typeface="Arial"/>
                    <a:cs typeface="Arial"/>
                  </a:defRPr>
                </a:pPr>
                <a:endParaRPr lang="en-US"/>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val>
            <c:numRef>
              <c:f>DETAIL!#REF!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1-1A6B-4A22-B71C-7E16B708236D}"/>
            </c:ext>
            <c:ext xmlns:c15="http://schemas.microsoft.com/office/drawing/2012/chart" uri="{02D57815-91ED-43cb-92C2-25804820EDAC}">
              <c15:filteredSeriesTitle>
                <c15:tx>
                  <c:strRef>
                    <c:extLst xmlns:c16="http://schemas.microsoft.com/office/drawing/2014/chart" xmlns:c16r2="http://schemas.microsoft.com/office/drawing/2015/06/chart">
                      <c:ext uri="{02D57815-91ED-43cb-92C2-25804820EDAC}">
                        <c15:formulaRef>
                          <c15:sqref>DETAIL!#REF!</c15:sqref>
                        </c15:formulaRef>
                      </c:ext>
                    </c:extLst>
                    <c:strCache>
                      <c:ptCount val="1"/>
                      <c:pt idx="0">
                        <c:v>#REF!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DETAIL!#REF!</c15:sqref>
                        </c15:formulaRef>
                      </c:ext>
                    </c:extLst>
                    <c:numCache>
                      <c:formatCode>General</c:formatCode>
                      <c:ptCount val="1"/>
                      <c:pt idx="0">
                        <c:v>1</c:v>
                      </c:pt>
                    </c:numCache>
                  </c:numRef>
                </c15:cat>
              </c15:filteredCategoryTitle>
            </c:ext>
          </c:extLst>
        </c:ser>
        <c:dLbls>
          <c:showLegendKey val="0"/>
          <c:showVal val="0"/>
          <c:showCatName val="1"/>
          <c:showSerName val="0"/>
          <c:showPercent val="1"/>
          <c:showBubbleSize val="0"/>
          <c:showLeaderLines val="1"/>
        </c:dLbls>
        <c:firstSliceAng val="0"/>
      </c:pie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350" b="0" i="0" u="none" strike="noStrike" baseline="0">
          <a:solidFill>
            <a:srgbClr val="000000"/>
          </a:solidFill>
          <a:latin typeface="Arial"/>
          <a:ea typeface="Arial"/>
          <a:cs typeface="Arial"/>
        </a:defRPr>
      </a:pPr>
      <a:endParaRPr lang="en-US"/>
    </a:p>
  </c:txPr>
  <c:printSettings>
    <c:headerFooter alignWithMargins="0"/>
    <c:pageMargins b="1" l="0.75000000000000444" r="0.75000000000000444" t="1" header="0.5" footer="0.5"/>
    <c:pageSetup orientation="landscape" horizontalDpi="300" verticalDpi="300"/>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2</xdr:col>
      <xdr:colOff>71438</xdr:colOff>
      <xdr:row>97</xdr:row>
      <xdr:rowOff>95249</xdr:rowOff>
    </xdr:from>
    <xdr:to>
      <xdr:col>8</xdr:col>
      <xdr:colOff>107156</xdr:colOff>
      <xdr:row>117</xdr:row>
      <xdr:rowOff>71436</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47625</xdr:colOff>
      <xdr:row>118</xdr:row>
      <xdr:rowOff>123823</xdr:rowOff>
    </xdr:from>
    <xdr:to>
      <xdr:col>8</xdr:col>
      <xdr:colOff>500062</xdr:colOff>
      <xdr:row>141</xdr:row>
      <xdr:rowOff>166686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19050</xdr:colOff>
      <xdr:row>98</xdr:row>
      <xdr:rowOff>104773</xdr:rowOff>
    </xdr:from>
    <xdr:to>
      <xdr:col>20</xdr:col>
      <xdr:colOff>476250</xdr:colOff>
      <xdr:row>120</xdr:row>
      <xdr:rowOff>107156</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1042987</xdr:colOff>
      <xdr:row>122</xdr:row>
      <xdr:rowOff>33335</xdr:rowOff>
    </xdr:from>
    <xdr:to>
      <xdr:col>22</xdr:col>
      <xdr:colOff>226219</xdr:colOff>
      <xdr:row>145</xdr:row>
      <xdr:rowOff>47624</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950118</xdr:colOff>
      <xdr:row>151</xdr:row>
      <xdr:rowOff>28573</xdr:rowOff>
    </xdr:from>
    <xdr:to>
      <xdr:col>8</xdr:col>
      <xdr:colOff>1202531</xdr:colOff>
      <xdr:row>174</xdr:row>
      <xdr:rowOff>107156</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28575</xdr:colOff>
      <xdr:row>71</xdr:row>
      <xdr:rowOff>0</xdr:rowOff>
    </xdr:from>
    <xdr:to>
      <xdr:col>9</xdr:col>
      <xdr:colOff>0</xdr:colOff>
      <xdr:row>71</xdr:row>
      <xdr:rowOff>0</xdr:rowOff>
    </xdr:to>
    <xdr:graphicFrame macro="">
      <xdr:nvGraphicFramePr>
        <xdr:cNvPr id="2" name="Chart 1">
          <a:extLst>
            <a:ext uri="{FF2B5EF4-FFF2-40B4-BE49-F238E27FC236}">
              <a16:creationId xmlns=""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38100</xdr:colOff>
      <xdr:row>71</xdr:row>
      <xdr:rowOff>0</xdr:rowOff>
    </xdr:from>
    <xdr:to>
      <xdr:col>9</xdr:col>
      <xdr:colOff>0</xdr:colOff>
      <xdr:row>71</xdr:row>
      <xdr:rowOff>0</xdr:rowOff>
    </xdr:to>
    <xdr:graphicFrame macro="">
      <xdr:nvGraphicFramePr>
        <xdr:cNvPr id="3" name="Chart 625">
          <a:extLst>
            <a:ext uri="{FF2B5EF4-FFF2-40B4-BE49-F238E27FC236}">
              <a16:creationId xmlns=""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AJAYSYNCMA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
      <sheetName val="P&amp;L"/>
      <sheetName val="OPer"/>
      <sheetName val="Liab"/>
      <sheetName val="Asset"/>
      <sheetName val="Period"/>
      <sheetName val="MBPF"/>
      <sheetName val="Fund"/>
      <sheetName val="Sheet2"/>
      <sheetName val="Ratio"/>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ow r="45">
          <cell r="A45">
            <v>0</v>
          </cell>
        </row>
        <row r="46">
          <cell r="A46" t="str">
            <v>PERFORMANCE &amp; FINANCIAL INDICATOR ( PROJECTION)</v>
          </cell>
        </row>
        <row r="47">
          <cell r="C47" t="str">
            <v>Estimated</v>
          </cell>
          <cell r="D47" t="str">
            <v>----Projected----</v>
          </cell>
        </row>
        <row r="48">
          <cell r="A48" t="str">
            <v>YEAR ENDING MARCH 31 st</v>
          </cell>
          <cell r="B48" t="str">
            <v>3/1999</v>
          </cell>
          <cell r="C48" t="str">
            <v>3/2000</v>
          </cell>
          <cell r="D48" t="str">
            <v>3/2001</v>
          </cell>
          <cell r="E48" t="str">
            <v>3/2002</v>
          </cell>
        </row>
        <row r="49">
          <cell r="A49" t="str">
            <v>TOTAL INCOME</v>
          </cell>
          <cell r="B49">
            <v>1097.47</v>
          </cell>
          <cell r="C49">
            <v>1357.33</v>
          </cell>
          <cell r="D49">
            <v>1550</v>
          </cell>
          <cell r="E49">
            <v>1650</v>
          </cell>
        </row>
        <row r="50">
          <cell r="A50" t="str">
            <v>PBT</v>
          </cell>
          <cell r="B50">
            <v>17.130000000000155</v>
          </cell>
          <cell r="C50">
            <v>-20.460000000000171</v>
          </cell>
          <cell r="D50">
            <v>-29.839999999999918</v>
          </cell>
          <cell r="E50">
            <v>-18.980000000000018</v>
          </cell>
        </row>
        <row r="51">
          <cell r="A51" t="str">
            <v>PAT</v>
          </cell>
          <cell r="B51">
            <v>52.340000000000153</v>
          </cell>
          <cell r="C51">
            <v>-13.840000000000172</v>
          </cell>
          <cell r="D51">
            <v>-29.699999999999918</v>
          </cell>
          <cell r="E51">
            <v>-21.430000000000017</v>
          </cell>
        </row>
        <row r="52">
          <cell r="A52" t="str">
            <v>PBT/INCOME(%)</v>
          </cell>
          <cell r="B52">
            <v>1.5608627115092125E-2</v>
          </cell>
          <cell r="C52">
            <v>-1.5073710888288162E-2</v>
          </cell>
          <cell r="D52">
            <v>-1.9251612903225752E-2</v>
          </cell>
          <cell r="E52">
            <v>-1.1503030303030314E-2</v>
          </cell>
        </row>
        <row r="53">
          <cell r="A53" t="str">
            <v>CASH ACCRUALS</v>
          </cell>
          <cell r="B53">
            <v>66.21000000000015</v>
          </cell>
          <cell r="C53">
            <v>15.359999999999827</v>
          </cell>
          <cell r="D53">
            <v>5.3000000000000824</v>
          </cell>
          <cell r="E53">
            <v>13.569999999999983</v>
          </cell>
        </row>
        <row r="54">
          <cell r="A54" t="str">
            <v>PU CAPITAL</v>
          </cell>
          <cell r="B54">
            <v>131.73000000000002</v>
          </cell>
          <cell r="C54">
            <v>190.14</v>
          </cell>
          <cell r="D54">
            <v>209</v>
          </cell>
          <cell r="E54">
            <v>209</v>
          </cell>
        </row>
        <row r="55">
          <cell r="A55" t="str">
            <v>TNW</v>
          </cell>
          <cell r="B55">
            <v>131.73000000000002</v>
          </cell>
          <cell r="C55">
            <v>190.14</v>
          </cell>
          <cell r="D55">
            <v>209</v>
          </cell>
          <cell r="E55">
            <v>209</v>
          </cell>
        </row>
        <row r="56">
          <cell r="A56" t="str">
            <v>TOL/TNW (Times)</v>
          </cell>
          <cell r="B56">
            <v>3.2931754346010775</v>
          </cell>
          <cell r="C56">
            <v>2.6096560429157463</v>
          </cell>
          <cell r="D56">
            <v>2.6773205741626791</v>
          </cell>
          <cell r="E56">
            <v>2.4575119617224881</v>
          </cell>
        </row>
        <row r="57">
          <cell r="A57" t="str">
            <v>NWC</v>
          </cell>
          <cell r="B57">
            <v>111.89999999999998</v>
          </cell>
          <cell r="C57">
            <v>119.32000000000002</v>
          </cell>
          <cell r="D57">
            <v>20.560000000000002</v>
          </cell>
          <cell r="E57">
            <v>-12.490000000000009</v>
          </cell>
        </row>
        <row r="58">
          <cell r="A58" t="str">
            <v>PBT/ASSETS(%)</v>
          </cell>
          <cell r="B58">
            <v>3.0289634685433667E-2</v>
          </cell>
          <cell r="C58">
            <v>-2.9810298102981282E-2</v>
          </cell>
          <cell r="D58">
            <v>-3.8825856146559694E-2</v>
          </cell>
          <cell r="E58">
            <v>-2.6265533752179597E-2</v>
          </cell>
        </row>
        <row r="59">
          <cell r="A59" t="str">
            <v>INC/ASSETS(Times)</v>
          </cell>
          <cell r="B59">
            <v>1.9405700746189485</v>
          </cell>
          <cell r="C59">
            <v>1.9776349914036777</v>
          </cell>
          <cell r="D59">
            <v>2.0167586135109818</v>
          </cell>
          <cell r="E59">
            <v>2.2833577814065489</v>
          </cell>
        </row>
        <row r="60">
          <cell r="A60" t="str">
            <v>DEBT EQUITY RATIO</v>
          </cell>
        </row>
        <row r="61">
          <cell r="A61" t="str">
            <v>CURRENT RATION</v>
          </cell>
          <cell r="B61">
            <v>1.5545643770443054</v>
          </cell>
          <cell r="C61">
            <v>1.6227232399144096</v>
          </cell>
          <cell r="D61">
            <v>1.0743741860801621</v>
          </cell>
          <cell r="E61">
            <v>0.95498936898626974</v>
          </cell>
        </row>
        <row r="62">
          <cell r="A62" t="str">
            <v>PBDIT/INTEREST</v>
          </cell>
          <cell r="B62">
            <v>2.0180623973727476</v>
          </cell>
          <cell r="C62">
            <v>1.1717092337917452</v>
          </cell>
          <cell r="D62">
            <v>1.0793846153846167</v>
          </cell>
          <cell r="E62">
            <v>1.2464615384615383</v>
          </cell>
        </row>
        <row r="63">
          <cell r="A63" t="str">
            <v>PAT/SALES</v>
          </cell>
          <cell r="B63">
            <v>4.7691508651717271E-2</v>
          </cell>
          <cell r="C63">
            <v>-1.0196488694716961E-2</v>
          </cell>
          <cell r="D63">
            <v>-1.9161290322580592E-2</v>
          </cell>
          <cell r="E63">
            <v>-1.2987878787878798E-2</v>
          </cell>
        </row>
        <row r="64">
          <cell r="A64" t="str">
            <v>ROCE/PBDIT</v>
          </cell>
          <cell r="B64">
            <v>0.10865721257559174</v>
          </cell>
          <cell r="C64">
            <v>8.6895707666753849E-2</v>
          </cell>
          <cell r="D64">
            <v>9.1287602789632674E-2</v>
          </cell>
          <cell r="E64">
            <v>0.11211978633306578</v>
          </cell>
        </row>
        <row r="65">
          <cell r="A65" t="str">
            <v>( INVENTORY+RECEIVABLES)/SALES IN DAYS</v>
          </cell>
          <cell r="D65">
            <v>33.438709677419354</v>
          </cell>
          <cell r="E65">
            <v>27.651515151515152</v>
          </cell>
        </row>
        <row r="66">
          <cell r="A66" t="str">
            <v>SCORING</v>
          </cell>
        </row>
        <row r="67">
          <cell r="B67" t="str">
            <v>ROCE</v>
          </cell>
          <cell r="C67" t="str">
            <v>INVENTORY DAYS</v>
          </cell>
          <cell r="E67" t="str">
            <v>PAT/SALES</v>
          </cell>
          <cell r="G67" t="str">
            <v>REAPYAMNT</v>
          </cell>
          <cell r="H67" t="str">
            <v>DSCR</v>
          </cell>
        </row>
        <row r="68">
          <cell r="A68">
            <v>5</v>
          </cell>
          <cell r="B68" t="str">
            <v>=&gt;12%</v>
          </cell>
          <cell r="C68" t="str">
            <v>=&gt;60</v>
          </cell>
          <cell r="E68" t="str">
            <v>=&gt;5</v>
          </cell>
          <cell r="G68" t="str">
            <v>&lt;=5</v>
          </cell>
          <cell r="H68" t="str">
            <v>=&gt;2</v>
          </cell>
        </row>
        <row r="69">
          <cell r="A69">
            <v>4</v>
          </cell>
          <cell r="B69" t="str">
            <v>=&gt;9.5%-12%</v>
          </cell>
          <cell r="C69" t="str">
            <v>=&gt;60-90</v>
          </cell>
          <cell r="E69" t="str">
            <v>=&gt;3-5</v>
          </cell>
          <cell r="G69" t="str">
            <v>=&gt;5-6</v>
          </cell>
          <cell r="H69" t="str">
            <v>=&gt;1.8-2</v>
          </cell>
        </row>
        <row r="70">
          <cell r="A70">
            <v>3</v>
          </cell>
          <cell r="B70" t="str">
            <v>=&gt;7-9.5%</v>
          </cell>
          <cell r="C70" t="str">
            <v>=&gt;90-120</v>
          </cell>
          <cell r="E70" t="str">
            <v>=&gt;1.5-3</v>
          </cell>
          <cell r="G70" t="str">
            <v>=&gt;6-7</v>
          </cell>
          <cell r="H70" t="str">
            <v>=&gt;1.6-1.8</v>
          </cell>
        </row>
        <row r="71">
          <cell r="A71">
            <v>2</v>
          </cell>
          <cell r="B71" t="str">
            <v>=&gt;5.5%-7%</v>
          </cell>
          <cell r="C71" t="str">
            <v>=&gt;120-150</v>
          </cell>
          <cell r="E71" t="str">
            <v>=&gt;0.5-1.5</v>
          </cell>
          <cell r="G71" t="str">
            <v>=&gt;7-8</v>
          </cell>
          <cell r="H71" t="str">
            <v>=&gt;1.4-1.6</v>
          </cell>
        </row>
        <row r="72">
          <cell r="A72">
            <v>1</v>
          </cell>
          <cell r="B72" t="str">
            <v>=&gt;4-5.5%%</v>
          </cell>
          <cell r="C72" t="str">
            <v>=&gt;150-180</v>
          </cell>
          <cell r="G72" t="str">
            <v>=&gt;8-10</v>
          </cell>
          <cell r="H72" t="str">
            <v>=&gt;1.25-1.40</v>
          </cell>
        </row>
        <row r="73">
          <cell r="A73" t="str">
            <v>ACTUAL</v>
          </cell>
          <cell r="B73">
            <v>8.6895707666753849E-2</v>
          </cell>
          <cell r="C73">
            <v>66.88246603551805</v>
          </cell>
          <cell r="E73">
            <v>-1.0196488694716961E-2</v>
          </cell>
          <cell r="G73">
            <v>5</v>
          </cell>
          <cell r="H73">
            <v>2</v>
          </cell>
        </row>
        <row r="74">
          <cell r="A74" t="str">
            <v>SCORE</v>
          </cell>
          <cell r="B74">
            <v>5</v>
          </cell>
          <cell r="C74">
            <v>4</v>
          </cell>
          <cell r="E74">
            <v>2</v>
          </cell>
          <cell r="G74">
            <v>5</v>
          </cell>
          <cell r="H74">
            <v>5</v>
          </cell>
        </row>
        <row r="75">
          <cell r="A75" t="str">
            <v>Weight</v>
          </cell>
          <cell r="B75">
            <v>2</v>
          </cell>
          <cell r="C75">
            <v>4</v>
          </cell>
          <cell r="E75">
            <v>2</v>
          </cell>
          <cell r="G75">
            <v>0</v>
          </cell>
          <cell r="H75">
            <v>0</v>
          </cell>
        </row>
        <row r="76">
          <cell r="A76" t="str">
            <v>Total Marks</v>
          </cell>
          <cell r="B76">
            <v>10</v>
          </cell>
          <cell r="C76">
            <v>16</v>
          </cell>
          <cell r="D76">
            <v>0</v>
          </cell>
          <cell r="E76">
            <v>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milaxpsyllium.in/images/comparison.pdf" TargetMode="External"/><Relationship Id="rId1" Type="http://schemas.openxmlformats.org/officeDocument/2006/relationships/hyperlink" Target="https://www.ijcmas.com/9-12-2020/S.%20D.%20Katke,%20et%20a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X140"/>
  <sheetViews>
    <sheetView showGridLines="0" topLeftCell="A83" zoomScale="80" zoomScaleNormal="80" zoomScaleSheetLayoutView="75" workbookViewId="0">
      <selection activeCell="G73" sqref="G73"/>
    </sheetView>
  </sheetViews>
  <sheetFormatPr defaultColWidth="9.140625" defaultRowHeight="15" x14ac:dyDescent="0.25"/>
  <cols>
    <col min="1" max="1" width="4" style="30" customWidth="1"/>
    <col min="2" max="2" width="53.42578125" style="30" customWidth="1"/>
    <col min="3" max="10" width="18.7109375" style="30" customWidth="1"/>
    <col min="11" max="16384" width="9.140625" style="30"/>
  </cols>
  <sheetData>
    <row r="1" spans="1:24" ht="24.75" customHeight="1" x14ac:dyDescent="0.25">
      <c r="A1" s="50" t="str">
        <f>BS!A1</f>
        <v>SADASHIVA PSYLLIUM PRIVATE LIMITED</v>
      </c>
      <c r="B1" s="50"/>
      <c r="C1" s="50"/>
      <c r="D1" s="50"/>
      <c r="E1" s="50"/>
      <c r="F1" s="50"/>
      <c r="G1" s="50"/>
      <c r="H1" s="50"/>
      <c r="I1" s="50"/>
      <c r="J1" s="50"/>
    </row>
    <row r="2" spans="1:24" ht="9.75" customHeight="1" x14ac:dyDescent="0.25">
      <c r="A2" s="29"/>
      <c r="B2" s="29"/>
      <c r="C2" s="29"/>
      <c r="D2" s="29"/>
      <c r="E2" s="29"/>
      <c r="F2" s="31"/>
      <c r="G2" s="29"/>
      <c r="H2" s="29"/>
      <c r="I2" s="29"/>
      <c r="J2" s="29"/>
    </row>
    <row r="3" spans="1:24" ht="24" customHeight="1" x14ac:dyDescent="0.25">
      <c r="A3" s="51" t="s">
        <v>55</v>
      </c>
      <c r="B3" s="51"/>
      <c r="C3" s="51"/>
      <c r="D3" s="51"/>
      <c r="E3" s="51"/>
      <c r="F3" s="51"/>
      <c r="G3" s="51"/>
      <c r="H3" s="51"/>
      <c r="I3" s="51"/>
      <c r="J3" s="51"/>
    </row>
    <row r="4" spans="1:24" ht="18" customHeight="1" x14ac:dyDescent="0.25">
      <c r="A4" s="29"/>
      <c r="B4" s="29"/>
      <c r="C4" s="29"/>
      <c r="D4" s="32"/>
      <c r="E4" s="32"/>
      <c r="F4" s="32"/>
      <c r="G4" s="29"/>
      <c r="H4" s="32"/>
      <c r="I4" s="32"/>
      <c r="J4" s="32" t="str">
        <f>(BS!K4)</f>
        <v>Amount in Lacs</v>
      </c>
    </row>
    <row r="5" spans="1:24" ht="17.25" customHeight="1" x14ac:dyDescent="0.25">
      <c r="A5" s="262"/>
      <c r="B5" s="278" t="s">
        <v>3</v>
      </c>
      <c r="C5" s="279" t="str">
        <f>Assumptions!D6</f>
        <v>2021-22</v>
      </c>
      <c r="D5" s="279" t="str">
        <f>Assumptions!E6</f>
        <v>2022-23</v>
      </c>
      <c r="E5" s="279" t="str">
        <f>Assumptions!F6</f>
        <v>2023-24</v>
      </c>
      <c r="F5" s="279" t="str">
        <f>Assumptions!G6</f>
        <v>2024-25</v>
      </c>
      <c r="G5" s="279" t="str">
        <f>Assumptions!H6</f>
        <v>2025-26</v>
      </c>
      <c r="H5" s="279" t="str">
        <f>Assumptions!I6</f>
        <v>2026-27</v>
      </c>
      <c r="I5" s="279" t="str">
        <f>Assumptions!J6</f>
        <v>2027-28</v>
      </c>
      <c r="J5" s="279" t="str">
        <f>Assumptions!K6</f>
        <v>2028-29</v>
      </c>
    </row>
    <row r="6" spans="1:24" ht="17.25" customHeight="1" x14ac:dyDescent="0.25">
      <c r="A6" s="262"/>
      <c r="B6" s="278"/>
      <c r="C6" s="279" t="s">
        <v>57</v>
      </c>
      <c r="D6" s="279" t="s">
        <v>57</v>
      </c>
      <c r="E6" s="279" t="s">
        <v>57</v>
      </c>
      <c r="F6" s="279" t="s">
        <v>57</v>
      </c>
      <c r="G6" s="279" t="s">
        <v>57</v>
      </c>
      <c r="H6" s="279" t="s">
        <v>57</v>
      </c>
      <c r="I6" s="279" t="s">
        <v>57</v>
      </c>
      <c r="J6" s="279" t="s">
        <v>57</v>
      </c>
    </row>
    <row r="7" spans="1:24" ht="20.100000000000001" customHeight="1" x14ac:dyDescent="0.25">
      <c r="A7" s="52" t="s">
        <v>4</v>
      </c>
      <c r="B7" s="280" t="s">
        <v>5</v>
      </c>
      <c r="C7" s="280"/>
      <c r="D7" s="281"/>
      <c r="E7" s="281"/>
      <c r="F7" s="281"/>
      <c r="G7" s="281"/>
      <c r="H7" s="281"/>
      <c r="I7" s="281"/>
      <c r="J7" s="281"/>
    </row>
    <row r="8" spans="1:24" ht="20.100000000000001" customHeight="1" x14ac:dyDescent="0.25">
      <c r="A8" s="52"/>
      <c r="B8" s="282" t="s">
        <v>51</v>
      </c>
      <c r="C8" s="283">
        <f>Assumptions!D78</f>
        <v>0</v>
      </c>
      <c r="D8" s="283">
        <f>Assumptions!E78</f>
        <v>1207.44</v>
      </c>
      <c r="E8" s="283">
        <f>Assumptions!F78</f>
        <v>2637.45</v>
      </c>
      <c r="F8" s="283">
        <f>Assumptions!G78</f>
        <v>2935.71</v>
      </c>
      <c r="G8" s="283">
        <f>Assumptions!H78</f>
        <v>3127.1400000000008</v>
      </c>
      <c r="H8" s="283">
        <f>Assumptions!I78</f>
        <v>3321.4500000000007</v>
      </c>
      <c r="I8" s="283">
        <f>Assumptions!J78</f>
        <v>3519.3600000000006</v>
      </c>
      <c r="J8" s="283">
        <f>Assumptions!K78</f>
        <v>3720.8700000000013</v>
      </c>
    </row>
    <row r="9" spans="1:24" ht="20.100000000000001" customHeight="1" x14ac:dyDescent="0.25">
      <c r="A9" s="52"/>
      <c r="B9" s="282" t="s">
        <v>70</v>
      </c>
      <c r="C9" s="283"/>
      <c r="D9" s="283"/>
      <c r="E9" s="283"/>
      <c r="F9" s="283"/>
      <c r="G9" s="283"/>
      <c r="H9" s="283"/>
      <c r="I9" s="283"/>
      <c r="J9" s="283"/>
    </row>
    <row r="10" spans="1:24" ht="20.100000000000001" customHeight="1" x14ac:dyDescent="0.25">
      <c r="A10" s="52"/>
      <c r="B10" s="280" t="s">
        <v>6</v>
      </c>
      <c r="C10" s="284">
        <f t="shared" ref="C10:J10" si="0">SUM(C8:C9)</f>
        <v>0</v>
      </c>
      <c r="D10" s="284">
        <f t="shared" si="0"/>
        <v>1207.44</v>
      </c>
      <c r="E10" s="284">
        <f t="shared" si="0"/>
        <v>2637.45</v>
      </c>
      <c r="F10" s="284">
        <f t="shared" si="0"/>
        <v>2935.71</v>
      </c>
      <c r="G10" s="284">
        <f t="shared" si="0"/>
        <v>3127.1400000000008</v>
      </c>
      <c r="H10" s="284">
        <f t="shared" si="0"/>
        <v>3321.4500000000007</v>
      </c>
      <c r="I10" s="284">
        <f t="shared" si="0"/>
        <v>3519.3600000000006</v>
      </c>
      <c r="J10" s="284">
        <f t="shared" si="0"/>
        <v>3720.8700000000013</v>
      </c>
    </row>
    <row r="11" spans="1:24" ht="20.100000000000001" customHeight="1" x14ac:dyDescent="0.25">
      <c r="A11" s="52"/>
      <c r="B11" s="280" t="s">
        <v>291</v>
      </c>
      <c r="C11" s="281">
        <f>C10-C13</f>
        <v>0</v>
      </c>
      <c r="D11" s="281">
        <f t="shared" ref="D11:J11" si="1">D10-D13</f>
        <v>78.6400000000001</v>
      </c>
      <c r="E11" s="281">
        <f t="shared" si="1"/>
        <v>549.84999999999991</v>
      </c>
      <c r="F11" s="281">
        <f t="shared" si="1"/>
        <v>766.17000000000007</v>
      </c>
      <c r="G11" s="281">
        <f t="shared" si="1"/>
        <v>864.42660000000069</v>
      </c>
      <c r="H11" s="281">
        <f t="shared" si="1"/>
        <v>963.60771000000068</v>
      </c>
      <c r="I11" s="281">
        <f t="shared" si="1"/>
        <v>1091.4083550000005</v>
      </c>
      <c r="J11" s="281">
        <f t="shared" si="1"/>
        <v>1249.2807727500012</v>
      </c>
      <c r="L11" s="260" t="e">
        <f>C11/C10</f>
        <v>#DIV/0!</v>
      </c>
      <c r="M11" s="260">
        <f t="shared" ref="M11:S11" si="2">D11/D10</f>
        <v>6.5129530245809392E-2</v>
      </c>
      <c r="N11" s="260">
        <f t="shared" si="2"/>
        <v>0.2084778858366983</v>
      </c>
      <c r="O11" s="260">
        <f t="shared" si="2"/>
        <v>0.26098286274870475</v>
      </c>
      <c r="P11" s="260">
        <f t="shared" si="2"/>
        <v>0.27642721464341236</v>
      </c>
      <c r="Q11" s="260">
        <f t="shared" si="2"/>
        <v>0.29011657860271883</v>
      </c>
      <c r="R11" s="260">
        <f t="shared" si="2"/>
        <v>0.31011557641162041</v>
      </c>
      <c r="S11" s="260">
        <f t="shared" si="2"/>
        <v>0.33574964262390267</v>
      </c>
      <c r="T11" s="212"/>
      <c r="U11" s="212"/>
      <c r="V11" s="212"/>
      <c r="W11" s="212"/>
      <c r="X11" s="212"/>
    </row>
    <row r="12" spans="1:24" ht="20.100000000000001" customHeight="1" x14ac:dyDescent="0.25">
      <c r="A12" s="52" t="s">
        <v>7</v>
      </c>
      <c r="B12" s="280" t="s">
        <v>58</v>
      </c>
      <c r="C12" s="281"/>
      <c r="D12" s="283"/>
      <c r="E12" s="283"/>
      <c r="F12" s="283"/>
      <c r="G12" s="283"/>
      <c r="H12" s="283"/>
      <c r="I12" s="283"/>
      <c r="J12" s="283"/>
    </row>
    <row r="13" spans="1:24" s="35" customFormat="1" ht="20.100000000000001" customHeight="1" x14ac:dyDescent="0.25">
      <c r="A13" s="53"/>
      <c r="B13" s="285" t="s">
        <v>69</v>
      </c>
      <c r="C13" s="286">
        <f>Assumptions!D25/100000</f>
        <v>0</v>
      </c>
      <c r="D13" s="286">
        <f>Assumptions!E25/100000</f>
        <v>1128.8</v>
      </c>
      <c r="E13" s="286">
        <f>Assumptions!F25/100000</f>
        <v>2087.6</v>
      </c>
      <c r="F13" s="286">
        <f>Assumptions!G25/100000</f>
        <v>2169.54</v>
      </c>
      <c r="G13" s="286">
        <f>Assumptions!H25/100000</f>
        <v>2262.7134000000001</v>
      </c>
      <c r="H13" s="286">
        <f>Assumptions!I25/100000</f>
        <v>2357.84229</v>
      </c>
      <c r="I13" s="286">
        <f>Assumptions!J25/100000</f>
        <v>2427.9516450000001</v>
      </c>
      <c r="J13" s="286">
        <f>Assumptions!K25/100000</f>
        <v>2471.58922725</v>
      </c>
    </row>
    <row r="14" spans="1:24" s="36" customFormat="1" ht="20.100000000000001" customHeight="1" x14ac:dyDescent="0.25">
      <c r="A14" s="52"/>
      <c r="B14" s="282" t="s">
        <v>86</v>
      </c>
      <c r="C14" s="283">
        <v>0</v>
      </c>
      <c r="D14" s="283">
        <f>-(Assumptions!E43+Assumptions!E22+Assumptions!E70-Assumptions!E67-Assumptions!E40-Assumptions!E19)/100000</f>
        <v>-209.6</v>
      </c>
      <c r="E14" s="283">
        <f>-(Assumptions!F43+Assumptions!F22+Assumptions!F70-Assumptions!F67-Assumptions!F40-Assumptions!F19)/100000</f>
        <v>-93.238</v>
      </c>
      <c r="F14" s="283">
        <f>-(Assumptions!G43+Assumptions!G22+Assumptions!G70-Assumptions!G67-Assumptions!G40-Assumptions!G19)/100000</f>
        <v>-14.4177</v>
      </c>
      <c r="G14" s="283">
        <f>-(Assumptions!H43+Assumptions!H22+Assumptions!H70-Assumptions!H67-Assumptions!H40-Assumptions!H19)/100000</f>
        <v>-18.021930000000001</v>
      </c>
      <c r="H14" s="283">
        <f>-(Assumptions!I43+Assumptions!I22+Assumptions!I70-Assumptions!I67-Assumptions!I40-Assumptions!I19)/100000</f>
        <v>-18.957483750000002</v>
      </c>
      <c r="I14" s="283">
        <f>-(Assumptions!J43+Assumptions!J22+Assumptions!J70-Assumptions!J67-Assumptions!J40-Assumptions!J19)/100000</f>
        <v>-16.559267550000026</v>
      </c>
      <c r="J14" s="283">
        <f>-(Assumptions!K43+Assumptions!K22+Assumptions!K70-Assumptions!K67-Assumptions!K40-Assumptions!K19)/100000</f>
        <v>-13.838153495625034</v>
      </c>
    </row>
    <row r="15" spans="1:24" s="36" customFormat="1" ht="20.100000000000001" customHeight="1" x14ac:dyDescent="0.25">
      <c r="A15" s="52"/>
      <c r="B15" s="282" t="s">
        <v>178</v>
      </c>
      <c r="C15" s="287">
        <f>(Assumptions!D60+Assumptions!D55)/100000</f>
        <v>0</v>
      </c>
      <c r="D15" s="287">
        <f>(Assumptions!E60+Assumptions!E55)/100000</f>
        <v>180</v>
      </c>
      <c r="E15" s="287">
        <f>(Assumptions!F60+Assumptions!F55)/100000</f>
        <v>385.56</v>
      </c>
      <c r="F15" s="287">
        <f>(Assumptions!G60+Assumptions!G55)/100000</f>
        <v>420.714</v>
      </c>
      <c r="G15" s="287">
        <f>(Assumptions!H60+Assumptions!H55)/100000</f>
        <v>450.08460000000002</v>
      </c>
      <c r="H15" s="287">
        <f>(Assumptions!I60+Assumptions!I55)/100000</f>
        <v>481.34047500000003</v>
      </c>
      <c r="I15" s="287">
        <f>(Assumptions!J60+Assumptions!J55)/100000</f>
        <v>514.5967260000001</v>
      </c>
      <c r="J15" s="287">
        <f>(Assumptions!K60+Assumptions!K55)/100000</f>
        <v>549.97525091249997</v>
      </c>
    </row>
    <row r="16" spans="1:24" ht="20.100000000000001" customHeight="1" x14ac:dyDescent="0.25">
      <c r="A16" s="52"/>
      <c r="B16" s="288" t="s">
        <v>71</v>
      </c>
      <c r="C16" s="287">
        <f>C8*5%</f>
        <v>0</v>
      </c>
      <c r="D16" s="287">
        <f>D8*3%</f>
        <v>36.223199999999999</v>
      </c>
      <c r="E16" s="287">
        <f t="shared" ref="E16:J16" si="3">E8*3%</f>
        <v>79.123499999999993</v>
      </c>
      <c r="F16" s="287">
        <f t="shared" si="3"/>
        <v>88.071299999999994</v>
      </c>
      <c r="G16" s="287">
        <f t="shared" si="3"/>
        <v>93.814200000000014</v>
      </c>
      <c r="H16" s="287">
        <f t="shared" si="3"/>
        <v>99.643500000000017</v>
      </c>
      <c r="I16" s="287">
        <f t="shared" si="3"/>
        <v>105.58080000000001</v>
      </c>
      <c r="J16" s="287">
        <f t="shared" si="3"/>
        <v>111.62610000000004</v>
      </c>
    </row>
    <row r="17" spans="1:10" ht="20.100000000000001" customHeight="1" x14ac:dyDescent="0.25">
      <c r="A17" s="52"/>
      <c r="B17" s="288" t="s">
        <v>118</v>
      </c>
      <c r="C17" s="287">
        <f t="shared" ref="C17:J17" si="4">C8*1%</f>
        <v>0</v>
      </c>
      <c r="D17" s="287">
        <f t="shared" si="4"/>
        <v>12.074400000000001</v>
      </c>
      <c r="E17" s="287">
        <f t="shared" si="4"/>
        <v>26.374499999999998</v>
      </c>
      <c r="F17" s="287">
        <f t="shared" si="4"/>
        <v>29.357100000000003</v>
      </c>
      <c r="G17" s="287">
        <f t="shared" si="4"/>
        <v>31.271400000000007</v>
      </c>
      <c r="H17" s="287">
        <f t="shared" si="4"/>
        <v>33.214500000000008</v>
      </c>
      <c r="I17" s="287">
        <f t="shared" si="4"/>
        <v>35.193600000000004</v>
      </c>
      <c r="J17" s="287">
        <f t="shared" si="4"/>
        <v>37.208700000000015</v>
      </c>
    </row>
    <row r="18" spans="1:10" ht="20.100000000000001" customHeight="1" x14ac:dyDescent="0.25">
      <c r="A18" s="52"/>
      <c r="B18" s="288" t="s">
        <v>340</v>
      </c>
      <c r="C18" s="287">
        <f>C10*0.4%</f>
        <v>0</v>
      </c>
      <c r="D18" s="287" t="s">
        <v>248</v>
      </c>
      <c r="E18" s="287">
        <f>E10*0.1%</f>
        <v>2.6374499999999999</v>
      </c>
      <c r="F18" s="287">
        <f>F10*0.2%</f>
        <v>5.8714200000000005</v>
      </c>
      <c r="G18" s="287">
        <f>G10*0.2%</f>
        <v>6.2542800000000014</v>
      </c>
      <c r="H18" s="287">
        <f t="shared" ref="H18:J18" si="5">H10*0.25%</f>
        <v>8.303625000000002</v>
      </c>
      <c r="I18" s="287">
        <f t="shared" si="5"/>
        <v>8.7984000000000009</v>
      </c>
      <c r="J18" s="287">
        <f t="shared" si="5"/>
        <v>9.3021750000000036</v>
      </c>
    </row>
    <row r="19" spans="1:10" ht="20.100000000000001" customHeight="1" x14ac:dyDescent="0.25">
      <c r="A19" s="52"/>
      <c r="B19" s="280" t="s">
        <v>8</v>
      </c>
      <c r="C19" s="284">
        <f>SUM(C13:C17)</f>
        <v>0</v>
      </c>
      <c r="D19" s="284">
        <f>SUM(D13:D18)</f>
        <v>1147.4975999999997</v>
      </c>
      <c r="E19" s="284">
        <f t="shared" ref="E19:J19" si="6">SUM(E13:E18)</f>
        <v>2488.0574500000002</v>
      </c>
      <c r="F19" s="284">
        <f t="shared" si="6"/>
        <v>2699.1361200000001</v>
      </c>
      <c r="G19" s="284">
        <f t="shared" si="6"/>
        <v>2826.1159500000003</v>
      </c>
      <c r="H19" s="284">
        <f t="shared" si="6"/>
        <v>2961.3869062500003</v>
      </c>
      <c r="I19" s="284">
        <f t="shared" si="6"/>
        <v>3075.5619034500005</v>
      </c>
      <c r="J19" s="284">
        <f t="shared" si="6"/>
        <v>3165.8632996668748</v>
      </c>
    </row>
    <row r="20" spans="1:10" ht="20.100000000000001" customHeight="1" x14ac:dyDescent="0.25">
      <c r="A20" s="52"/>
      <c r="B20" s="280"/>
      <c r="C20" s="281"/>
      <c r="D20" s="289">
        <f t="shared" ref="D20:J20" si="7">D19/D10</f>
        <v>0.95035579407672399</v>
      </c>
      <c r="E20" s="289">
        <f t="shared" si="7"/>
        <v>0.94335720108438093</v>
      </c>
      <c r="F20" s="289">
        <f t="shared" si="7"/>
        <v>0.91941510571548279</v>
      </c>
      <c r="G20" s="289">
        <f t="shared" si="7"/>
        <v>0.90373822406416071</v>
      </c>
      <c r="H20" s="289">
        <f t="shared" si="7"/>
        <v>0.89159460664769896</v>
      </c>
      <c r="I20" s="289">
        <f t="shared" si="7"/>
        <v>0.87389806767423617</v>
      </c>
      <c r="J20" s="289">
        <f t="shared" si="7"/>
        <v>0.85083953475044105</v>
      </c>
    </row>
    <row r="21" spans="1:10" s="37" customFormat="1" ht="20.100000000000001" customHeight="1" x14ac:dyDescent="0.25">
      <c r="A21" s="55" t="s">
        <v>9</v>
      </c>
      <c r="B21" s="280" t="s">
        <v>52</v>
      </c>
      <c r="C21" s="284">
        <f t="shared" ref="C21:J21" si="8">+C10-C19</f>
        <v>0</v>
      </c>
      <c r="D21" s="284">
        <f t="shared" si="8"/>
        <v>59.942400000000362</v>
      </c>
      <c r="E21" s="284">
        <f t="shared" si="8"/>
        <v>149.39254999999957</v>
      </c>
      <c r="F21" s="284">
        <f t="shared" si="8"/>
        <v>236.57387999999992</v>
      </c>
      <c r="G21" s="284">
        <f t="shared" si="8"/>
        <v>301.02405000000044</v>
      </c>
      <c r="H21" s="284">
        <f t="shared" si="8"/>
        <v>360.06309375000046</v>
      </c>
      <c r="I21" s="284">
        <f t="shared" si="8"/>
        <v>443.79809655000008</v>
      </c>
      <c r="J21" s="284">
        <f t="shared" si="8"/>
        <v>555.00670033312645</v>
      </c>
    </row>
    <row r="22" spans="1:10" s="37" customFormat="1" ht="20.100000000000001" customHeight="1" x14ac:dyDescent="0.25">
      <c r="A22" s="55"/>
      <c r="B22" s="280" t="s">
        <v>89</v>
      </c>
      <c r="C22" s="281"/>
      <c r="D22" s="284"/>
      <c r="E22" s="284"/>
      <c r="F22" s="284"/>
      <c r="G22" s="284"/>
      <c r="H22" s="284"/>
      <c r="I22" s="284"/>
      <c r="J22" s="284"/>
    </row>
    <row r="23" spans="1:10" s="37" customFormat="1" ht="20.100000000000001" customHeight="1" x14ac:dyDescent="0.25">
      <c r="A23" s="55"/>
      <c r="B23" s="290" t="s">
        <v>90</v>
      </c>
      <c r="C23" s="291">
        <v>0</v>
      </c>
      <c r="D23" s="292">
        <f>'TERM LOAN REPAYMENT'!K29</f>
        <v>42.996527777777779</v>
      </c>
      <c r="E23" s="283">
        <f>'TERM LOAN REPAYMENT'!K41</f>
        <v>37.156249999999972</v>
      </c>
      <c r="F23" s="283">
        <f>'TERM LOAN REPAYMENT'!K53</f>
        <v>29.906249999999986</v>
      </c>
      <c r="G23" s="283">
        <f>'TERM LOAN REPAYMENT'!K65</f>
        <v>22.656250000000007</v>
      </c>
      <c r="H23" s="283">
        <f>'TERM LOAN REPAYMENT'!K77</f>
        <v>15.406250000000012</v>
      </c>
      <c r="I23" s="283">
        <f>'TERM LOAN REPAYMENT'!K89</f>
        <v>8.1562500000000053</v>
      </c>
      <c r="J23" s="283">
        <f>'TERM LOAN REPAYMENT'!K93</f>
        <v>1.1076388888888913</v>
      </c>
    </row>
    <row r="24" spans="1:10" s="37" customFormat="1" ht="20.100000000000001" customHeight="1" x14ac:dyDescent="0.25">
      <c r="A24" s="55"/>
      <c r="B24" s="293" t="s">
        <v>91</v>
      </c>
      <c r="C24" s="283">
        <f>BS!D14*0</f>
        <v>0</v>
      </c>
      <c r="D24" s="283">
        <f>BS!E14*0.0725/2</f>
        <v>14.499999999999998</v>
      </c>
      <c r="E24" s="283">
        <f>BS!F14*0.0725</f>
        <v>28.999999999999996</v>
      </c>
      <c r="F24" s="283">
        <f>BS!G14*0.0725</f>
        <v>28.999999999999996</v>
      </c>
      <c r="G24" s="283">
        <f>BS!H14*0.0725</f>
        <v>36.25</v>
      </c>
      <c r="H24" s="283">
        <f>BS!I14*0.0725</f>
        <v>36.25</v>
      </c>
      <c r="I24" s="283">
        <f>BS!J14*0.0725</f>
        <v>43.5</v>
      </c>
      <c r="J24" s="283">
        <f>BS!K14*0.0725</f>
        <v>43.5</v>
      </c>
    </row>
    <row r="25" spans="1:10" s="36" customFormat="1" ht="20.100000000000001" customHeight="1" x14ac:dyDescent="0.25">
      <c r="A25" s="52"/>
      <c r="B25" s="293" t="s">
        <v>119</v>
      </c>
      <c r="C25" s="294"/>
      <c r="D25" s="283"/>
      <c r="E25" s="283"/>
      <c r="F25" s="283"/>
      <c r="G25" s="283"/>
      <c r="H25" s="283"/>
      <c r="I25" s="283"/>
      <c r="J25" s="283"/>
    </row>
    <row r="26" spans="1:10" s="1" customFormat="1" ht="20.100000000000001" customHeight="1" x14ac:dyDescent="0.25">
      <c r="A26" s="52"/>
      <c r="B26" s="295" t="s">
        <v>88</v>
      </c>
      <c r="C26" s="296">
        <f>SUM(C23:C25)</f>
        <v>0</v>
      </c>
      <c r="D26" s="296">
        <f>SUM(D23:D25)</f>
        <v>57.496527777777779</v>
      </c>
      <c r="E26" s="296">
        <f t="shared" ref="E26:J26" si="9">SUM(E23:E25)</f>
        <v>66.156249999999972</v>
      </c>
      <c r="F26" s="296">
        <f t="shared" si="9"/>
        <v>58.906249999999986</v>
      </c>
      <c r="G26" s="296">
        <f t="shared" si="9"/>
        <v>58.906250000000007</v>
      </c>
      <c r="H26" s="296">
        <f t="shared" si="9"/>
        <v>51.656250000000014</v>
      </c>
      <c r="I26" s="296">
        <f t="shared" si="9"/>
        <v>51.656250000000007</v>
      </c>
      <c r="J26" s="296">
        <f t="shared" si="9"/>
        <v>44.607638888888893</v>
      </c>
    </row>
    <row r="27" spans="1:10" s="1" customFormat="1" ht="20.100000000000001" customHeight="1" x14ac:dyDescent="0.25">
      <c r="A27" s="52"/>
      <c r="B27" s="295"/>
      <c r="C27" s="297"/>
      <c r="D27" s="296"/>
      <c r="E27" s="296"/>
      <c r="F27" s="296"/>
      <c r="G27" s="296"/>
      <c r="H27" s="296"/>
      <c r="I27" s="296"/>
      <c r="J27" s="296"/>
    </row>
    <row r="28" spans="1:10" ht="20.100000000000001" customHeight="1" x14ac:dyDescent="0.25">
      <c r="A28" s="52" t="s">
        <v>10</v>
      </c>
      <c r="B28" s="280" t="s">
        <v>12</v>
      </c>
      <c r="C28" s="284">
        <f t="shared" ref="C28:J28" si="10">C21-C26</f>
        <v>0</v>
      </c>
      <c r="D28" s="284">
        <f t="shared" si="10"/>
        <v>2.445872222222583</v>
      </c>
      <c r="E28" s="284">
        <f t="shared" si="10"/>
        <v>83.236299999999602</v>
      </c>
      <c r="F28" s="284">
        <f t="shared" si="10"/>
        <v>177.66762999999992</v>
      </c>
      <c r="G28" s="284">
        <f t="shared" si="10"/>
        <v>242.11780000000044</v>
      </c>
      <c r="H28" s="284">
        <f t="shared" si="10"/>
        <v>308.40684375000046</v>
      </c>
      <c r="I28" s="284">
        <f t="shared" si="10"/>
        <v>392.14184655000008</v>
      </c>
      <c r="J28" s="284">
        <f t="shared" si="10"/>
        <v>510.39906144423753</v>
      </c>
    </row>
    <row r="29" spans="1:10" s="36" customFormat="1" ht="20.100000000000001" customHeight="1" x14ac:dyDescent="0.25">
      <c r="A29" s="52"/>
      <c r="B29" s="282" t="s">
        <v>13</v>
      </c>
      <c r="C29" s="298">
        <v>0</v>
      </c>
      <c r="D29" s="298">
        <f>FA!F18</f>
        <v>108.15</v>
      </c>
      <c r="E29" s="298">
        <f>FA!F27</f>
        <v>91.927499999999995</v>
      </c>
      <c r="F29" s="298">
        <f>FA!F36</f>
        <v>78.138374999999996</v>
      </c>
      <c r="G29" s="298">
        <f>FA!F45</f>
        <v>66.417618750000003</v>
      </c>
      <c r="H29" s="298">
        <f>FA!F54</f>
        <v>56.454975937500002</v>
      </c>
      <c r="I29" s="298">
        <f>FA!F63</f>
        <v>47.986729546874997</v>
      </c>
      <c r="J29" s="298">
        <f>FA!F72</f>
        <v>40.788720114843755</v>
      </c>
    </row>
    <row r="30" spans="1:10" ht="20.100000000000001" customHeight="1" x14ac:dyDescent="0.25">
      <c r="A30" s="52" t="s">
        <v>11</v>
      </c>
      <c r="B30" s="280" t="s">
        <v>15</v>
      </c>
      <c r="C30" s="284">
        <f t="shared" ref="C30:J30" si="11">+C28-C29</f>
        <v>0</v>
      </c>
      <c r="D30" s="284">
        <f t="shared" si="11"/>
        <v>-105.70412777777742</v>
      </c>
      <c r="E30" s="284">
        <f t="shared" si="11"/>
        <v>-8.6912000000003928</v>
      </c>
      <c r="F30" s="284">
        <f t="shared" si="11"/>
        <v>99.529254999999921</v>
      </c>
      <c r="G30" s="284">
        <f t="shared" si="11"/>
        <v>175.70018125000044</v>
      </c>
      <c r="H30" s="284">
        <f t="shared" si="11"/>
        <v>251.95186781250047</v>
      </c>
      <c r="I30" s="284">
        <f t="shared" si="11"/>
        <v>344.1551170031251</v>
      </c>
      <c r="J30" s="284">
        <f t="shared" si="11"/>
        <v>469.6103413293938</v>
      </c>
    </row>
    <row r="31" spans="1:10" s="36" customFormat="1" ht="20.100000000000001" customHeight="1" x14ac:dyDescent="0.25">
      <c r="A31" s="52"/>
      <c r="B31" s="282" t="s">
        <v>341</v>
      </c>
      <c r="C31" s="299">
        <f>C30*25%</f>
        <v>0</v>
      </c>
      <c r="D31" s="299">
        <f>D30*30%</f>
        <v>-31.711238333333224</v>
      </c>
      <c r="E31" s="299">
        <f t="shared" ref="E31:J31" si="12">E30*30%</f>
        <v>-2.6073600000001176</v>
      </c>
      <c r="F31" s="299">
        <f t="shared" si="12"/>
        <v>29.858776499999976</v>
      </c>
      <c r="G31" s="299">
        <f t="shared" si="12"/>
        <v>52.710054375000134</v>
      </c>
      <c r="H31" s="299">
        <f t="shared" si="12"/>
        <v>75.585560343750132</v>
      </c>
      <c r="I31" s="299">
        <f t="shared" si="12"/>
        <v>103.24653510093752</v>
      </c>
      <c r="J31" s="299">
        <f t="shared" si="12"/>
        <v>140.88310239881812</v>
      </c>
    </row>
    <row r="32" spans="1:10" ht="20.100000000000001" customHeight="1" x14ac:dyDescent="0.25">
      <c r="A32" s="52" t="s">
        <v>14</v>
      </c>
      <c r="B32" s="280" t="s">
        <v>16</v>
      </c>
      <c r="C32" s="284">
        <f t="shared" ref="C32:J32" si="13">C30-C31</f>
        <v>0</v>
      </c>
      <c r="D32" s="284">
        <f t="shared" si="13"/>
        <v>-73.992889444444188</v>
      </c>
      <c r="E32" s="284">
        <f t="shared" si="13"/>
        <v>-6.0838400000002757</v>
      </c>
      <c r="F32" s="284">
        <f t="shared" si="13"/>
        <v>69.670478499999945</v>
      </c>
      <c r="G32" s="284">
        <f t="shared" si="13"/>
        <v>122.9901268750003</v>
      </c>
      <c r="H32" s="284">
        <f t="shared" si="13"/>
        <v>176.36630746875034</v>
      </c>
      <c r="I32" s="284">
        <f t="shared" si="13"/>
        <v>240.90858190218756</v>
      </c>
      <c r="J32" s="284">
        <f t="shared" si="13"/>
        <v>328.72723893057571</v>
      </c>
    </row>
    <row r="33" spans="1:10" x14ac:dyDescent="0.25">
      <c r="A33" s="33"/>
      <c r="B33" s="34"/>
      <c r="C33" s="34"/>
      <c r="D33" s="38"/>
      <c r="E33" s="38"/>
      <c r="F33" s="38"/>
      <c r="G33" s="38"/>
      <c r="H33" s="38"/>
      <c r="I33" s="38"/>
      <c r="J33" s="38"/>
    </row>
    <row r="34" spans="1:10" x14ac:dyDescent="0.25">
      <c r="A34" s="39"/>
      <c r="B34" s="36"/>
      <c r="C34" s="41"/>
      <c r="D34" s="41"/>
      <c r="E34" s="41"/>
      <c r="F34" s="41"/>
      <c r="G34" s="41"/>
      <c r="H34" s="41"/>
      <c r="I34" s="41"/>
      <c r="J34" s="41"/>
    </row>
    <row r="35" spans="1:10" x14ac:dyDescent="0.25">
      <c r="A35" s="39"/>
      <c r="B35" s="197" t="s">
        <v>233</v>
      </c>
      <c r="C35" s="198">
        <f t="shared" ref="C35:J35" si="14">C21-C29</f>
        <v>0</v>
      </c>
      <c r="D35" s="198">
        <f t="shared" si="14"/>
        <v>-48.207599999999644</v>
      </c>
      <c r="E35" s="198">
        <f t="shared" si="14"/>
        <v>57.465049999999579</v>
      </c>
      <c r="F35" s="198">
        <f t="shared" si="14"/>
        <v>158.43550499999992</v>
      </c>
      <c r="G35" s="198">
        <f t="shared" si="14"/>
        <v>234.60643125000044</v>
      </c>
      <c r="H35" s="198">
        <f t="shared" si="14"/>
        <v>303.60811781250044</v>
      </c>
      <c r="I35" s="198">
        <f t="shared" si="14"/>
        <v>395.8113670031251</v>
      </c>
      <c r="J35" s="198">
        <f t="shared" si="14"/>
        <v>514.21798021828272</v>
      </c>
    </row>
    <row r="36" spans="1:10" x14ac:dyDescent="0.25">
      <c r="A36" s="39"/>
      <c r="B36" s="36"/>
      <c r="C36" s="40"/>
      <c r="D36" s="40"/>
      <c r="E36" s="40"/>
      <c r="F36" s="40"/>
      <c r="G36" s="40"/>
      <c r="H36" s="40"/>
      <c r="I36" s="40"/>
      <c r="J36" s="40"/>
    </row>
    <row r="37" spans="1:10" s="43" customFormat="1" x14ac:dyDescent="0.25">
      <c r="A37" s="42"/>
      <c r="B37" s="200" t="s">
        <v>234</v>
      </c>
      <c r="C37" s="199">
        <f t="shared" ref="C37:J37" si="15">C35-C26</f>
        <v>0</v>
      </c>
      <c r="D37" s="199">
        <f t="shared" si="15"/>
        <v>-105.70412777777742</v>
      </c>
      <c r="E37" s="199">
        <f t="shared" si="15"/>
        <v>-8.6912000000003928</v>
      </c>
      <c r="F37" s="199">
        <f t="shared" si="15"/>
        <v>99.529254999999935</v>
      </c>
      <c r="G37" s="199">
        <f t="shared" si="15"/>
        <v>175.70018125000044</v>
      </c>
      <c r="H37" s="199">
        <f t="shared" si="15"/>
        <v>251.95186781250044</v>
      </c>
      <c r="I37" s="199">
        <f t="shared" si="15"/>
        <v>344.1551170031251</v>
      </c>
      <c r="J37" s="199">
        <f t="shared" si="15"/>
        <v>469.6103413293938</v>
      </c>
    </row>
    <row r="38" spans="1:10" x14ac:dyDescent="0.25">
      <c r="A38" s="36"/>
      <c r="B38" s="36"/>
      <c r="C38" s="44"/>
      <c r="D38" s="44"/>
      <c r="E38" s="44"/>
      <c r="F38" s="44"/>
      <c r="G38" s="44"/>
      <c r="H38" s="44"/>
      <c r="I38" s="44"/>
      <c r="J38" s="44"/>
    </row>
    <row r="39" spans="1:10" x14ac:dyDescent="0.25">
      <c r="A39" s="36"/>
      <c r="B39" s="36"/>
      <c r="C39" s="40"/>
      <c r="D39" s="40"/>
      <c r="E39" s="40"/>
      <c r="F39" s="40"/>
      <c r="G39" s="40"/>
      <c r="H39" s="40"/>
      <c r="I39" s="40"/>
      <c r="J39" s="40"/>
    </row>
    <row r="40" spans="1:10" s="43" customFormat="1" x14ac:dyDescent="0.25">
      <c r="A40" s="42"/>
      <c r="B40" s="42"/>
      <c r="C40" s="41"/>
      <c r="D40" s="41"/>
      <c r="E40" s="41"/>
      <c r="F40" s="41"/>
      <c r="G40" s="41"/>
      <c r="H40" s="41"/>
      <c r="I40" s="41"/>
      <c r="J40" s="41"/>
    </row>
    <row r="41" spans="1:10" x14ac:dyDescent="0.25">
      <c r="A41" s="36"/>
      <c r="B41" s="201" t="s">
        <v>235</v>
      </c>
      <c r="C41" s="46">
        <v>0</v>
      </c>
      <c r="D41" s="202">
        <f t="shared" ref="D41:J41" si="16">D21/D10</f>
        <v>4.9644205923275987E-2</v>
      </c>
      <c r="E41" s="202">
        <f t="shared" si="16"/>
        <v>5.6642798915619096E-2</v>
      </c>
      <c r="F41" s="202">
        <f t="shared" si="16"/>
        <v>8.0584894284517178E-2</v>
      </c>
      <c r="G41" s="202">
        <f t="shared" si="16"/>
        <v>9.6261775935839261E-2</v>
      </c>
      <c r="H41" s="202">
        <f t="shared" si="16"/>
        <v>0.10840539335230107</v>
      </c>
      <c r="I41" s="202">
        <f t="shared" si="16"/>
        <v>0.12610193232576378</v>
      </c>
      <c r="J41" s="202">
        <f t="shared" si="16"/>
        <v>0.14916046524955892</v>
      </c>
    </row>
    <row r="42" spans="1:10" x14ac:dyDescent="0.25">
      <c r="A42" s="39"/>
      <c r="B42" s="45"/>
      <c r="C42" s="45"/>
      <c r="D42" s="45"/>
      <c r="E42" s="45"/>
      <c r="F42" s="45"/>
      <c r="G42" s="45"/>
      <c r="H42" s="45"/>
      <c r="I42" s="45"/>
      <c r="J42" s="45"/>
    </row>
    <row r="43" spans="1:10" x14ac:dyDescent="0.25">
      <c r="A43" s="39"/>
      <c r="B43" s="36"/>
      <c r="C43" s="36"/>
      <c r="D43" s="47"/>
      <c r="E43" s="47"/>
      <c r="F43" s="47"/>
      <c r="G43" s="47"/>
      <c r="H43" s="47"/>
      <c r="I43" s="47"/>
      <c r="J43" s="47"/>
    </row>
    <row r="44" spans="1:10" x14ac:dyDescent="0.25">
      <c r="A44" s="39"/>
      <c r="B44" s="197" t="s">
        <v>236</v>
      </c>
      <c r="C44" s="36"/>
      <c r="D44" s="48"/>
      <c r="E44" s="48"/>
      <c r="F44" s="48"/>
      <c r="G44" s="48"/>
      <c r="H44" s="48"/>
      <c r="I44" s="48"/>
      <c r="J44" s="48"/>
    </row>
    <row r="45" spans="1:10" x14ac:dyDescent="0.25">
      <c r="A45" s="39"/>
      <c r="B45" s="36"/>
      <c r="C45" s="36"/>
      <c r="D45" s="36"/>
      <c r="E45" s="36"/>
      <c r="F45" s="36"/>
      <c r="G45" s="36"/>
      <c r="H45" s="36"/>
      <c r="I45" s="36"/>
      <c r="J45" s="36"/>
    </row>
    <row r="46" spans="1:10" x14ac:dyDescent="0.25">
      <c r="A46" s="39"/>
      <c r="B46" s="36" t="s">
        <v>237</v>
      </c>
      <c r="C46" s="98">
        <f t="shared" ref="C46:J46" si="17">C32+C29</f>
        <v>0</v>
      </c>
      <c r="D46" s="98">
        <f t="shared" si="17"/>
        <v>34.157110555555818</v>
      </c>
      <c r="E46" s="98">
        <f t="shared" si="17"/>
        <v>85.843659999999716</v>
      </c>
      <c r="F46" s="98">
        <f t="shared" si="17"/>
        <v>147.80885349999994</v>
      </c>
      <c r="G46" s="98">
        <f t="shared" si="17"/>
        <v>189.4077456250003</v>
      </c>
      <c r="H46" s="98">
        <f t="shared" si="17"/>
        <v>232.82128340625033</v>
      </c>
      <c r="I46" s="98">
        <f t="shared" si="17"/>
        <v>288.89531144906255</v>
      </c>
      <c r="J46" s="98">
        <f t="shared" si="17"/>
        <v>369.51595904541944</v>
      </c>
    </row>
    <row r="47" spans="1:10" x14ac:dyDescent="0.25">
      <c r="A47" s="39"/>
      <c r="B47" s="36"/>
      <c r="C47" s="36"/>
      <c r="D47" s="49"/>
      <c r="E47" s="49"/>
      <c r="F47" s="49"/>
      <c r="G47" s="49"/>
      <c r="H47" s="49"/>
      <c r="I47" s="49"/>
      <c r="J47" s="49"/>
    </row>
    <row r="48" spans="1:10" x14ac:dyDescent="0.25">
      <c r="A48" s="39"/>
      <c r="B48" s="36" t="s">
        <v>238</v>
      </c>
      <c r="C48" s="49">
        <f t="shared" ref="C48:J48" si="18">C23</f>
        <v>0</v>
      </c>
      <c r="D48" s="49">
        <f t="shared" si="18"/>
        <v>42.996527777777779</v>
      </c>
      <c r="E48" s="49">
        <f t="shared" si="18"/>
        <v>37.156249999999972</v>
      </c>
      <c r="F48" s="49">
        <f t="shared" si="18"/>
        <v>29.906249999999986</v>
      </c>
      <c r="G48" s="49">
        <f t="shared" si="18"/>
        <v>22.656250000000007</v>
      </c>
      <c r="H48" s="49">
        <f t="shared" si="18"/>
        <v>15.406250000000012</v>
      </c>
      <c r="I48" s="49">
        <f t="shared" si="18"/>
        <v>8.1562500000000053</v>
      </c>
      <c r="J48" s="49">
        <f t="shared" si="18"/>
        <v>1.1076388888888913</v>
      </c>
    </row>
    <row r="49" spans="1:10" x14ac:dyDescent="0.25">
      <c r="A49" s="39"/>
      <c r="B49" s="36"/>
      <c r="C49" s="36"/>
      <c r="D49" s="49"/>
      <c r="E49" s="49"/>
      <c r="F49" s="49"/>
      <c r="G49" s="49"/>
      <c r="H49" s="49"/>
      <c r="I49" s="49"/>
      <c r="J49" s="49"/>
    </row>
    <row r="50" spans="1:10" x14ac:dyDescent="0.25">
      <c r="A50" s="39"/>
      <c r="B50" s="197" t="s">
        <v>240</v>
      </c>
      <c r="C50" s="98">
        <f>C46+C48</f>
        <v>0</v>
      </c>
      <c r="D50" s="98">
        <f t="shared" ref="D50:J50" si="19">D46+D48</f>
        <v>77.153638333333589</v>
      </c>
      <c r="E50" s="98">
        <f t="shared" si="19"/>
        <v>122.99990999999969</v>
      </c>
      <c r="F50" s="98">
        <f t="shared" si="19"/>
        <v>177.71510349999994</v>
      </c>
      <c r="G50" s="98">
        <f t="shared" si="19"/>
        <v>212.0639956250003</v>
      </c>
      <c r="H50" s="98">
        <f t="shared" si="19"/>
        <v>248.22753340625033</v>
      </c>
      <c r="I50" s="98">
        <f t="shared" si="19"/>
        <v>297.05156144906255</v>
      </c>
      <c r="J50" s="98">
        <f t="shared" si="19"/>
        <v>370.62359793430835</v>
      </c>
    </row>
    <row r="51" spans="1:10" x14ac:dyDescent="0.25">
      <c r="A51" s="39"/>
      <c r="B51" s="36"/>
      <c r="C51" s="36"/>
      <c r="D51" s="36"/>
      <c r="E51" s="36"/>
      <c r="F51" s="36"/>
      <c r="G51" s="36"/>
      <c r="H51" s="36"/>
      <c r="I51" s="36"/>
      <c r="J51" s="36"/>
    </row>
    <row r="52" spans="1:10" x14ac:dyDescent="0.25">
      <c r="A52" s="39"/>
      <c r="B52" s="36" t="str">
        <f>B48</f>
        <v>Interest on term loan</v>
      </c>
      <c r="C52" s="98">
        <f>C50</f>
        <v>0</v>
      </c>
      <c r="D52" s="98">
        <f t="shared" ref="D52:J52" si="20">D50</f>
        <v>77.153638333333589</v>
      </c>
      <c r="E52" s="98">
        <f t="shared" si="20"/>
        <v>122.99990999999969</v>
      </c>
      <c r="F52" s="98">
        <f t="shared" si="20"/>
        <v>177.71510349999994</v>
      </c>
      <c r="G52" s="98">
        <f t="shared" si="20"/>
        <v>212.0639956250003</v>
      </c>
      <c r="H52" s="98">
        <f t="shared" si="20"/>
        <v>248.22753340625033</v>
      </c>
      <c r="I52" s="98">
        <f t="shared" si="20"/>
        <v>297.05156144906255</v>
      </c>
      <c r="J52" s="98">
        <f t="shared" si="20"/>
        <v>370.62359793430835</v>
      </c>
    </row>
    <row r="53" spans="1:10" x14ac:dyDescent="0.25">
      <c r="A53" s="39"/>
      <c r="B53" s="36"/>
      <c r="C53" s="36"/>
      <c r="D53" s="36"/>
      <c r="E53" s="36"/>
      <c r="F53" s="36"/>
      <c r="G53" s="36"/>
      <c r="H53" s="36"/>
      <c r="I53" s="36"/>
      <c r="J53" s="36"/>
    </row>
    <row r="54" spans="1:10" x14ac:dyDescent="0.25">
      <c r="B54" s="30" t="s">
        <v>239</v>
      </c>
      <c r="C54" s="123">
        <f>BS!D16</f>
        <v>558.33333333333314</v>
      </c>
      <c r="D54" s="123">
        <f>BS!E16</f>
        <v>458.33333333333309</v>
      </c>
      <c r="E54" s="123">
        <f>BS!F16</f>
        <v>358.33333333333331</v>
      </c>
      <c r="F54" s="123">
        <f>BS!G16</f>
        <v>258.33333333333354</v>
      </c>
      <c r="G54" s="123">
        <f>BS!H16</f>
        <v>158.33333333333343</v>
      </c>
      <c r="H54" s="123">
        <f>BS!I16</f>
        <v>58.333333333333428</v>
      </c>
      <c r="I54" s="123">
        <f>BS!J16</f>
        <v>25.000000000000092</v>
      </c>
      <c r="J54" s="123">
        <f>BS!K16</f>
        <v>25.000000000000092</v>
      </c>
    </row>
    <row r="56" spans="1:10" x14ac:dyDescent="0.25">
      <c r="B56" s="1" t="s">
        <v>241</v>
      </c>
      <c r="C56" s="123">
        <f>C52+C54</f>
        <v>558.33333333333314</v>
      </c>
      <c r="D56" s="123">
        <f t="shared" ref="D56:J56" si="21">D52+D54</f>
        <v>535.4869716666667</v>
      </c>
      <c r="E56" s="123">
        <f t="shared" si="21"/>
        <v>481.33324333333303</v>
      </c>
      <c r="F56" s="123">
        <f t="shared" si="21"/>
        <v>436.04843683333348</v>
      </c>
      <c r="G56" s="123">
        <f t="shared" si="21"/>
        <v>370.39732895833373</v>
      </c>
      <c r="H56" s="123">
        <f t="shared" si="21"/>
        <v>306.56086673958373</v>
      </c>
      <c r="I56" s="123">
        <f t="shared" si="21"/>
        <v>322.05156144906266</v>
      </c>
      <c r="J56" s="123">
        <f t="shared" si="21"/>
        <v>395.62359793430846</v>
      </c>
    </row>
    <row r="59" spans="1:10" x14ac:dyDescent="0.25">
      <c r="B59" s="1" t="s">
        <v>242</v>
      </c>
      <c r="C59" s="30">
        <f>C50/C56</f>
        <v>0</v>
      </c>
      <c r="D59" s="30">
        <f t="shared" ref="D59:J59" si="22">D50/D56</f>
        <v>0.14408126138568442</v>
      </c>
      <c r="E59" s="30">
        <f t="shared" si="22"/>
        <v>0.25554002700540623</v>
      </c>
      <c r="F59" s="30">
        <f t="shared" si="22"/>
        <v>0.40755817126785443</v>
      </c>
      <c r="G59" s="30">
        <f t="shared" si="22"/>
        <v>0.57253111468537488</v>
      </c>
      <c r="H59" s="30">
        <f t="shared" si="22"/>
        <v>0.80971696109247304</v>
      </c>
      <c r="I59" s="30">
        <f t="shared" si="22"/>
        <v>0.92237267881107843</v>
      </c>
      <c r="J59" s="30">
        <f t="shared" si="22"/>
        <v>0.93680862281589372</v>
      </c>
    </row>
    <row r="62" spans="1:10" x14ac:dyDescent="0.25">
      <c r="B62" s="30" t="s">
        <v>243</v>
      </c>
      <c r="C62" s="123">
        <f t="shared" ref="C62:J62" si="23">C28</f>
        <v>0</v>
      </c>
      <c r="D62" s="123">
        <f t="shared" si="23"/>
        <v>2.445872222222583</v>
      </c>
      <c r="E62" s="123">
        <f t="shared" si="23"/>
        <v>83.236299999999602</v>
      </c>
      <c r="F62" s="123">
        <f t="shared" si="23"/>
        <v>177.66762999999992</v>
      </c>
      <c r="G62" s="123">
        <f t="shared" si="23"/>
        <v>242.11780000000044</v>
      </c>
      <c r="H62" s="123">
        <f t="shared" si="23"/>
        <v>308.40684375000046</v>
      </c>
      <c r="I62" s="123">
        <f t="shared" si="23"/>
        <v>392.14184655000008</v>
      </c>
      <c r="J62" s="123">
        <f t="shared" si="23"/>
        <v>510.39906144423753</v>
      </c>
    </row>
    <row r="64" spans="1:10" x14ac:dyDescent="0.25">
      <c r="B64" s="30" t="s">
        <v>180</v>
      </c>
      <c r="C64" s="123">
        <f t="shared" ref="C64:J64" si="24">C23</f>
        <v>0</v>
      </c>
      <c r="D64" s="123">
        <f t="shared" si="24"/>
        <v>42.996527777777779</v>
      </c>
      <c r="E64" s="123">
        <f t="shared" si="24"/>
        <v>37.156249999999972</v>
      </c>
      <c r="F64" s="123">
        <f t="shared" si="24"/>
        <v>29.906249999999986</v>
      </c>
      <c r="G64" s="123">
        <f t="shared" si="24"/>
        <v>22.656250000000007</v>
      </c>
      <c r="H64" s="123">
        <f t="shared" si="24"/>
        <v>15.406250000000012</v>
      </c>
      <c r="I64" s="123">
        <f t="shared" si="24"/>
        <v>8.1562500000000053</v>
      </c>
      <c r="J64" s="123">
        <f t="shared" si="24"/>
        <v>1.1076388888888913</v>
      </c>
    </row>
    <row r="66" spans="2:10" x14ac:dyDescent="0.25">
      <c r="B66" s="30" t="s">
        <v>244</v>
      </c>
      <c r="C66" s="123">
        <f>C54</f>
        <v>558.33333333333314</v>
      </c>
      <c r="D66" s="123">
        <f t="shared" ref="D66:J66" si="25">D54</f>
        <v>458.33333333333309</v>
      </c>
      <c r="E66" s="123">
        <f t="shared" si="25"/>
        <v>358.33333333333331</v>
      </c>
      <c r="F66" s="123">
        <f t="shared" si="25"/>
        <v>258.33333333333354</v>
      </c>
      <c r="G66" s="123">
        <f t="shared" si="25"/>
        <v>158.33333333333343</v>
      </c>
      <c r="H66" s="123">
        <f t="shared" si="25"/>
        <v>58.333333333333428</v>
      </c>
      <c r="I66" s="123">
        <f t="shared" si="25"/>
        <v>25.000000000000092</v>
      </c>
      <c r="J66" s="123">
        <f t="shared" si="25"/>
        <v>25.000000000000092</v>
      </c>
    </row>
    <row r="68" spans="2:10" x14ac:dyDescent="0.25">
      <c r="B68" s="1" t="s">
        <v>245</v>
      </c>
      <c r="C68" s="16">
        <f>C62/(C64+C66)</f>
        <v>0</v>
      </c>
      <c r="D68" s="16">
        <f t="shared" ref="D68:J68" si="26">D62/(D64+D66)</f>
        <v>4.8787682760443006E-3</v>
      </c>
      <c r="E68" s="16">
        <f t="shared" si="26"/>
        <v>0.2104639502726042</v>
      </c>
      <c r="F68" s="16">
        <f t="shared" si="26"/>
        <v>0.61638872754869645</v>
      </c>
      <c r="G68" s="16">
        <f t="shared" si="26"/>
        <v>1.3377443913669083</v>
      </c>
      <c r="H68" s="16">
        <f t="shared" si="26"/>
        <v>4.1823784432829498</v>
      </c>
      <c r="I68" s="16">
        <f t="shared" si="26"/>
        <v>11.82708679509893</v>
      </c>
      <c r="J68" s="16">
        <f t="shared" si="26"/>
        <v>19.549797805019267</v>
      </c>
    </row>
    <row r="71" spans="2:10" x14ac:dyDescent="0.25">
      <c r="B71" s="30" t="s">
        <v>292</v>
      </c>
      <c r="C71" s="212"/>
      <c r="D71" s="211">
        <f t="shared" ref="D71:J71" si="27">D11/D10</f>
        <v>6.5129530245809392E-2</v>
      </c>
      <c r="E71" s="211">
        <f t="shared" si="27"/>
        <v>0.2084778858366983</v>
      </c>
      <c r="F71" s="211">
        <f t="shared" si="27"/>
        <v>0.26098286274870475</v>
      </c>
      <c r="G71" s="211">
        <f t="shared" si="27"/>
        <v>0.27642721464341236</v>
      </c>
      <c r="H71" s="211">
        <f t="shared" si="27"/>
        <v>0.29011657860271883</v>
      </c>
      <c r="I71" s="211">
        <f t="shared" si="27"/>
        <v>0.31011557641162041</v>
      </c>
      <c r="J71" s="211">
        <f t="shared" si="27"/>
        <v>0.33574964262390267</v>
      </c>
    </row>
    <row r="73" spans="2:10" ht="18.75" customHeight="1" x14ac:dyDescent="0.25">
      <c r="B73" s="203" t="s">
        <v>246</v>
      </c>
      <c r="C73" s="207" t="str">
        <f t="shared" ref="C73:J73" si="28">C5</f>
        <v>2021-22</v>
      </c>
      <c r="D73" s="207" t="str">
        <f t="shared" si="28"/>
        <v>2022-23</v>
      </c>
      <c r="E73" s="207" t="str">
        <f t="shared" si="28"/>
        <v>2023-24</v>
      </c>
      <c r="F73" s="207" t="str">
        <f t="shared" si="28"/>
        <v>2024-25</v>
      </c>
      <c r="G73" s="207" t="str">
        <f t="shared" si="28"/>
        <v>2025-26</v>
      </c>
      <c r="H73" s="207" t="str">
        <f t="shared" si="28"/>
        <v>2026-27</v>
      </c>
      <c r="I73" s="207" t="str">
        <f t="shared" si="28"/>
        <v>2027-28</v>
      </c>
      <c r="J73" s="207" t="str">
        <f t="shared" si="28"/>
        <v>2028-29</v>
      </c>
    </row>
    <row r="75" spans="2:10" x14ac:dyDescent="0.25">
      <c r="B75" s="1" t="s">
        <v>247</v>
      </c>
      <c r="C75" s="16">
        <f t="shared" ref="C75:J75" si="29">C10</f>
        <v>0</v>
      </c>
      <c r="D75" s="16">
        <f t="shared" si="29"/>
        <v>1207.44</v>
      </c>
      <c r="E75" s="16">
        <f t="shared" si="29"/>
        <v>2637.45</v>
      </c>
      <c r="F75" s="16">
        <f t="shared" si="29"/>
        <v>2935.71</v>
      </c>
      <c r="G75" s="16">
        <f t="shared" si="29"/>
        <v>3127.1400000000008</v>
      </c>
      <c r="H75" s="16">
        <f t="shared" si="29"/>
        <v>3321.4500000000007</v>
      </c>
      <c r="I75" s="16">
        <f t="shared" si="29"/>
        <v>3519.3600000000006</v>
      </c>
      <c r="J75" s="16">
        <f t="shared" si="29"/>
        <v>3720.8700000000013</v>
      </c>
    </row>
    <row r="76" spans="2:10" x14ac:dyDescent="0.25">
      <c r="B76" s="1"/>
      <c r="C76" s="16"/>
      <c r="D76" s="16"/>
      <c r="E76" s="16"/>
      <c r="F76" s="16"/>
      <c r="G76" s="16"/>
      <c r="H76" s="16"/>
      <c r="I76" s="16"/>
      <c r="J76" s="16"/>
    </row>
    <row r="77" spans="2:10" x14ac:dyDescent="0.25">
      <c r="B77" s="1" t="s">
        <v>254</v>
      </c>
      <c r="C77" s="16"/>
      <c r="D77" s="16"/>
      <c r="E77" s="204">
        <f t="shared" ref="E77:J77" si="30">E75/D75-1</f>
        <v>1.1843321407274892</v>
      </c>
      <c r="F77" s="204">
        <f t="shared" si="30"/>
        <v>0.11308650400955478</v>
      </c>
      <c r="G77" s="204">
        <f t="shared" si="30"/>
        <v>6.5207394463349777E-2</v>
      </c>
      <c r="H77" s="204">
        <f t="shared" si="30"/>
        <v>6.2136648822886054E-2</v>
      </c>
      <c r="I77" s="204">
        <f t="shared" si="30"/>
        <v>5.9585422029535318E-2</v>
      </c>
      <c r="J77" s="204">
        <f t="shared" si="30"/>
        <v>5.7257569558101684E-2</v>
      </c>
    </row>
    <row r="78" spans="2:10" x14ac:dyDescent="0.25">
      <c r="B78" s="1"/>
      <c r="C78" s="1"/>
      <c r="D78" s="1"/>
      <c r="E78" s="1"/>
      <c r="F78" s="1"/>
      <c r="G78" s="1"/>
      <c r="H78" s="1"/>
      <c r="I78" s="1"/>
      <c r="J78" s="1"/>
    </row>
    <row r="79" spans="2:10" x14ac:dyDescent="0.25">
      <c r="B79" s="1" t="s">
        <v>243</v>
      </c>
      <c r="C79" s="16">
        <f t="shared" ref="C79:J79" si="31">C21</f>
        <v>0</v>
      </c>
      <c r="D79" s="16">
        <f t="shared" si="31"/>
        <v>59.942400000000362</v>
      </c>
      <c r="E79" s="16">
        <f t="shared" si="31"/>
        <v>149.39254999999957</v>
      </c>
      <c r="F79" s="16">
        <f t="shared" si="31"/>
        <v>236.57387999999992</v>
      </c>
      <c r="G79" s="16">
        <f t="shared" si="31"/>
        <v>301.02405000000044</v>
      </c>
      <c r="H79" s="16">
        <f t="shared" si="31"/>
        <v>360.06309375000046</v>
      </c>
      <c r="I79" s="16">
        <f t="shared" si="31"/>
        <v>443.79809655000008</v>
      </c>
      <c r="J79" s="16">
        <f t="shared" si="31"/>
        <v>555.00670033312645</v>
      </c>
    </row>
    <row r="80" spans="2:10" x14ac:dyDescent="0.25">
      <c r="B80" s="1"/>
      <c r="C80" s="1"/>
      <c r="D80" s="1"/>
      <c r="E80" s="1"/>
      <c r="F80" s="1"/>
      <c r="G80" s="1"/>
      <c r="H80" s="1"/>
      <c r="I80" s="1"/>
      <c r="J80" s="1"/>
    </row>
    <row r="81" spans="2:10" x14ac:dyDescent="0.25">
      <c r="B81" s="1" t="s">
        <v>235</v>
      </c>
      <c r="C81" s="205" t="s">
        <v>248</v>
      </c>
      <c r="D81" s="204">
        <f t="shared" ref="D81:J81" si="32">D79/D75</f>
        <v>4.9644205923275987E-2</v>
      </c>
      <c r="E81" s="204">
        <f t="shared" si="32"/>
        <v>5.6642798915619096E-2</v>
      </c>
      <c r="F81" s="204">
        <f t="shared" si="32"/>
        <v>8.0584894284517178E-2</v>
      </c>
      <c r="G81" s="204">
        <f t="shared" si="32"/>
        <v>9.6261775935839261E-2</v>
      </c>
      <c r="H81" s="204">
        <f t="shared" si="32"/>
        <v>0.10840539335230107</v>
      </c>
      <c r="I81" s="204">
        <f t="shared" si="32"/>
        <v>0.12610193232576378</v>
      </c>
      <c r="J81" s="204">
        <f t="shared" si="32"/>
        <v>0.14916046524955892</v>
      </c>
    </row>
    <row r="82" spans="2:10" x14ac:dyDescent="0.25">
      <c r="B82" s="1"/>
      <c r="C82" s="1"/>
      <c r="D82" s="1"/>
      <c r="E82" s="1"/>
      <c r="F82" s="1"/>
      <c r="G82" s="1"/>
      <c r="H82" s="1"/>
      <c r="I82" s="1"/>
      <c r="J82" s="1"/>
    </row>
    <row r="83" spans="2:10" x14ac:dyDescent="0.25">
      <c r="B83" s="1" t="s">
        <v>249</v>
      </c>
      <c r="C83" s="16">
        <f>BS!D15+BS!D16</f>
        <v>683.33333333333314</v>
      </c>
      <c r="D83" s="16">
        <f>BS!E15+BS!E16</f>
        <v>613.33333333333303</v>
      </c>
      <c r="E83" s="16">
        <f>BS!F15+BS!F16</f>
        <v>513.33333333333326</v>
      </c>
      <c r="F83" s="16">
        <f>BS!G15+BS!G16</f>
        <v>413.33333333333354</v>
      </c>
      <c r="G83" s="16">
        <f>BS!H15+BS!H16</f>
        <v>313.33333333333343</v>
      </c>
      <c r="H83" s="16">
        <f>BS!I15+BS!I16</f>
        <v>213.33333333333343</v>
      </c>
      <c r="I83" s="16">
        <f>BS!J15+BS!J16</f>
        <v>180.00000000000009</v>
      </c>
      <c r="J83" s="16">
        <f>BS!K15+BS!K16</f>
        <v>180.00000000000009</v>
      </c>
    </row>
    <row r="84" spans="2:10" x14ac:dyDescent="0.25">
      <c r="B84" s="1"/>
      <c r="C84" s="1"/>
      <c r="D84" s="1"/>
      <c r="E84" s="1"/>
      <c r="F84" s="1"/>
      <c r="G84" s="1"/>
      <c r="H84" s="1"/>
      <c r="I84" s="1"/>
      <c r="J84" s="1"/>
    </row>
    <row r="85" spans="2:10" x14ac:dyDescent="0.25">
      <c r="B85" s="1" t="s">
        <v>250</v>
      </c>
      <c r="C85" s="1"/>
      <c r="D85" s="206">
        <f t="shared" ref="D85:J85" si="33">D83/D79</f>
        <v>10.232044985408148</v>
      </c>
      <c r="E85" s="206">
        <f t="shared" si="33"/>
        <v>3.4361374334485535</v>
      </c>
      <c r="F85" s="206">
        <f t="shared" si="33"/>
        <v>1.7471638599042874</v>
      </c>
      <c r="G85" s="206">
        <f t="shared" si="33"/>
        <v>1.0408913617810038</v>
      </c>
      <c r="H85" s="206">
        <f t="shared" si="33"/>
        <v>0.59248875276691182</v>
      </c>
      <c r="I85" s="206">
        <f t="shared" si="33"/>
        <v>0.40558984231632583</v>
      </c>
      <c r="J85" s="206">
        <f t="shared" si="33"/>
        <v>0.32432040891030756</v>
      </c>
    </row>
    <row r="86" spans="2:10" x14ac:dyDescent="0.25">
      <c r="B86" s="1"/>
      <c r="C86" s="1"/>
      <c r="D86" s="1"/>
      <c r="E86" s="1"/>
      <c r="F86" s="1"/>
      <c r="G86" s="1"/>
      <c r="H86" s="1"/>
      <c r="I86" s="1"/>
      <c r="J86" s="1"/>
    </row>
    <row r="87" spans="2:10" x14ac:dyDescent="0.25">
      <c r="B87" s="1" t="s">
        <v>251</v>
      </c>
      <c r="C87" s="16">
        <f>BS!D32</f>
        <v>825</v>
      </c>
      <c r="D87" s="16">
        <f>BS!E32</f>
        <v>716.85</v>
      </c>
      <c r="E87" s="16">
        <f>BS!F32</f>
        <v>624.92250000000001</v>
      </c>
      <c r="F87" s="16">
        <f>BS!G32</f>
        <v>546.78412500000002</v>
      </c>
      <c r="G87" s="16">
        <f>BS!H32</f>
        <v>480.36650625000004</v>
      </c>
      <c r="H87" s="16">
        <f>BS!I32</f>
        <v>423.91153031250002</v>
      </c>
      <c r="I87" s="16">
        <f>BS!J32</f>
        <v>375.92480076562504</v>
      </c>
      <c r="J87" s="16">
        <f>BS!K32</f>
        <v>335.13608065078131</v>
      </c>
    </row>
    <row r="88" spans="2:10" x14ac:dyDescent="0.25">
      <c r="B88" s="1"/>
      <c r="C88" s="1"/>
      <c r="D88" s="1"/>
      <c r="E88" s="1"/>
      <c r="F88" s="1"/>
      <c r="G88" s="1"/>
      <c r="H88" s="1"/>
      <c r="I88" s="1"/>
      <c r="J88" s="1"/>
    </row>
    <row r="89" spans="2:10" x14ac:dyDescent="0.25">
      <c r="B89" s="1" t="s">
        <v>252</v>
      </c>
      <c r="C89" s="206">
        <f>C87/C83</f>
        <v>1.2073170731707321</v>
      </c>
      <c r="D89" s="206">
        <f t="shared" ref="D89:J89" si="34">D87/D83</f>
        <v>1.1687771739130441</v>
      </c>
      <c r="E89" s="206">
        <f t="shared" si="34"/>
        <v>1.2173814935064937</v>
      </c>
      <c r="F89" s="206">
        <f t="shared" si="34"/>
        <v>1.3228648185483864</v>
      </c>
      <c r="G89" s="206">
        <f t="shared" si="34"/>
        <v>1.5330845944148932</v>
      </c>
      <c r="H89" s="206">
        <f t="shared" si="34"/>
        <v>1.987085298339843</v>
      </c>
      <c r="I89" s="206">
        <f t="shared" si="34"/>
        <v>2.0884711153645825</v>
      </c>
      <c r="J89" s="206">
        <f t="shared" si="34"/>
        <v>1.861867114726562</v>
      </c>
    </row>
    <row r="90" spans="2:10" x14ac:dyDescent="0.25">
      <c r="B90" s="1"/>
      <c r="C90" s="1"/>
      <c r="D90" s="1"/>
      <c r="E90" s="1"/>
      <c r="F90" s="1"/>
      <c r="G90" s="1"/>
      <c r="H90" s="1"/>
      <c r="I90" s="1"/>
      <c r="J90" s="1"/>
    </row>
    <row r="91" spans="2:10" x14ac:dyDescent="0.25">
      <c r="B91" s="1" t="s">
        <v>245</v>
      </c>
      <c r="C91" s="16">
        <f>C68</f>
        <v>0</v>
      </c>
      <c r="D91" s="16">
        <f t="shared" ref="D91:J91" si="35">D68</f>
        <v>4.8787682760443006E-3</v>
      </c>
      <c r="E91" s="16">
        <f t="shared" si="35"/>
        <v>0.2104639502726042</v>
      </c>
      <c r="F91" s="16">
        <f t="shared" si="35"/>
        <v>0.61638872754869645</v>
      </c>
      <c r="G91" s="16">
        <f t="shared" si="35"/>
        <v>1.3377443913669083</v>
      </c>
      <c r="H91" s="16">
        <f t="shared" si="35"/>
        <v>4.1823784432829498</v>
      </c>
      <c r="I91" s="16">
        <f t="shared" si="35"/>
        <v>11.82708679509893</v>
      </c>
      <c r="J91" s="16">
        <f t="shared" si="35"/>
        <v>19.549797805019267</v>
      </c>
    </row>
    <row r="92" spans="2:10" x14ac:dyDescent="0.25">
      <c r="B92" s="1"/>
      <c r="C92" s="1"/>
      <c r="D92" s="1"/>
      <c r="E92" s="1"/>
      <c r="F92" s="1"/>
      <c r="G92" s="1"/>
      <c r="H92" s="1"/>
      <c r="I92" s="1"/>
      <c r="J92" s="1"/>
    </row>
    <row r="93" spans="2:10" x14ac:dyDescent="0.25">
      <c r="B93" s="1" t="s">
        <v>253</v>
      </c>
      <c r="C93" s="206">
        <v>0</v>
      </c>
      <c r="D93" s="206">
        <f t="shared" ref="D93:J93" si="36">D35/D26</f>
        <v>-0.83844367413490528</v>
      </c>
      <c r="E93" s="206">
        <f t="shared" si="36"/>
        <v>0.86862616910722124</v>
      </c>
      <c r="F93" s="206">
        <f t="shared" si="36"/>
        <v>2.689621305039787</v>
      </c>
      <c r="G93" s="206">
        <f t="shared" si="36"/>
        <v>3.982708647214861</v>
      </c>
      <c r="H93" s="206">
        <f t="shared" si="36"/>
        <v>5.877471125226867</v>
      </c>
      <c r="I93" s="206">
        <f t="shared" si="36"/>
        <v>7.662410008529946</v>
      </c>
      <c r="J93" s="206">
        <f t="shared" si="36"/>
        <v>11.52757673409087</v>
      </c>
    </row>
    <row r="95" spans="2:10" x14ac:dyDescent="0.25">
      <c r="B95" s="1" t="s">
        <v>289</v>
      </c>
      <c r="C95" s="204">
        <f>AVERAGE(C81:J81)</f>
        <v>9.5257352283839344E-2</v>
      </c>
    </row>
    <row r="96" spans="2:10" x14ac:dyDescent="0.25">
      <c r="B96" s="1" t="s">
        <v>288</v>
      </c>
      <c r="C96" s="16">
        <f>AVERAGE(C91:J91)</f>
        <v>4.716092360108175</v>
      </c>
      <c r="E96" s="1" t="s">
        <v>290</v>
      </c>
      <c r="F96" s="206">
        <f>AVERAGE(C93:J93)</f>
        <v>3.9712462893843306</v>
      </c>
    </row>
    <row r="98" spans="2:10" x14ac:dyDescent="0.25">
      <c r="B98" s="1" t="s">
        <v>259</v>
      </c>
      <c r="J98" s="1" t="s">
        <v>235</v>
      </c>
    </row>
    <row r="119" spans="2:10" x14ac:dyDescent="0.25">
      <c r="B119" s="1" t="s">
        <v>260</v>
      </c>
    </row>
    <row r="120" spans="2:10" x14ac:dyDescent="0.25">
      <c r="J120" s="30" t="s">
        <v>245</v>
      </c>
    </row>
    <row r="140" spans="4:4" x14ac:dyDescent="0.25">
      <c r="D140" s="1" t="s">
        <v>261</v>
      </c>
    </row>
  </sheetData>
  <mergeCells count="2">
    <mergeCell ref="A5:A6"/>
    <mergeCell ref="B5:B6"/>
  </mergeCells>
  <pageMargins left="0.7" right="0.7" top="0.75" bottom="0.75" header="0.3" footer="0.3"/>
  <pageSetup scale="8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K23"/>
  <sheetViews>
    <sheetView showGridLines="0" topLeftCell="A4" workbookViewId="0">
      <selection activeCell="D12" sqref="D12"/>
    </sheetView>
  </sheetViews>
  <sheetFormatPr defaultRowHeight="15" x14ac:dyDescent="0.25"/>
  <cols>
    <col min="1" max="1" width="20.5703125" style="30" bestFit="1" customWidth="1"/>
    <col min="2" max="2" width="6.42578125" style="30" bestFit="1" customWidth="1"/>
    <col min="3" max="3" width="23.42578125" style="30" bestFit="1" customWidth="1"/>
    <col min="4" max="4" width="21.140625" style="30" bestFit="1" customWidth="1"/>
    <col min="5" max="5" width="9.140625" style="30"/>
    <col min="6" max="6" width="10.140625" style="30" bestFit="1" customWidth="1"/>
    <col min="7" max="8" width="9.140625" style="30"/>
    <col min="9" max="9" width="20.5703125" style="30" bestFit="1" customWidth="1"/>
    <col min="10" max="10" width="8.140625" style="30" bestFit="1" customWidth="1"/>
    <col min="11" max="11" width="22" style="30" bestFit="1" customWidth="1"/>
    <col min="12" max="12" width="8.140625" style="30" bestFit="1" customWidth="1"/>
    <col min="13" max="16384" width="9.140625" style="30"/>
  </cols>
  <sheetData>
    <row r="1" spans="2:11" ht="10.5" customHeight="1" x14ac:dyDescent="0.25">
      <c r="B1" s="29"/>
      <c r="C1" s="29"/>
      <c r="D1" s="29"/>
      <c r="E1" s="29"/>
      <c r="F1" s="29"/>
      <c r="G1" s="29"/>
    </row>
    <row r="2" spans="2:11" x14ac:dyDescent="0.25">
      <c r="B2" s="274" t="s">
        <v>152</v>
      </c>
      <c r="C2" s="274"/>
      <c r="D2" s="274"/>
      <c r="E2" s="29"/>
      <c r="F2" s="29"/>
      <c r="G2" s="29"/>
    </row>
    <row r="3" spans="2:11" x14ac:dyDescent="0.25">
      <c r="B3" s="275" t="s">
        <v>143</v>
      </c>
      <c r="C3" s="275"/>
      <c r="D3" s="275"/>
      <c r="E3" s="29"/>
      <c r="F3" s="29"/>
      <c r="G3" s="29"/>
    </row>
    <row r="4" spans="2:11" x14ac:dyDescent="0.25">
      <c r="B4" s="174"/>
      <c r="C4" s="29"/>
      <c r="D4" s="29"/>
      <c r="E4" s="29"/>
      <c r="F4" s="29"/>
      <c r="G4" s="29"/>
    </row>
    <row r="5" spans="2:11" x14ac:dyDescent="0.25">
      <c r="B5" s="276" t="s">
        <v>149</v>
      </c>
      <c r="C5" s="276"/>
      <c r="D5" s="276"/>
      <c r="E5" s="29"/>
      <c r="F5" s="29"/>
      <c r="G5" s="29"/>
      <c r="J5" s="30" t="s">
        <v>294</v>
      </c>
    </row>
    <row r="6" spans="2:11" x14ac:dyDescent="0.25">
      <c r="B6" s="175" t="s">
        <v>33</v>
      </c>
      <c r="C6" s="176" t="s">
        <v>3</v>
      </c>
      <c r="D6" s="175" t="s">
        <v>153</v>
      </c>
      <c r="E6" s="29"/>
      <c r="F6" s="29"/>
      <c r="G6" s="29"/>
    </row>
    <row r="7" spans="2:11" x14ac:dyDescent="0.25">
      <c r="B7" s="177">
        <v>1</v>
      </c>
      <c r="C7" s="29" t="s">
        <v>144</v>
      </c>
      <c r="D7" s="171">
        <v>39</v>
      </c>
      <c r="E7" s="29"/>
      <c r="F7" s="29"/>
      <c r="G7" s="29">
        <f>104-39</f>
        <v>65</v>
      </c>
    </row>
    <row r="8" spans="2:11" x14ac:dyDescent="0.25">
      <c r="B8" s="177">
        <v>2</v>
      </c>
      <c r="C8" s="29" t="s">
        <v>145</v>
      </c>
      <c r="D8" s="172">
        <v>65</v>
      </c>
      <c r="E8" s="29"/>
      <c r="F8" s="29"/>
      <c r="G8" s="29"/>
    </row>
    <row r="9" spans="2:11" x14ac:dyDescent="0.25">
      <c r="B9" s="177">
        <v>3</v>
      </c>
      <c r="C9" s="29" t="s">
        <v>146</v>
      </c>
      <c r="D9" s="172">
        <v>300</v>
      </c>
      <c r="E9" s="29"/>
      <c r="F9" s="29"/>
      <c r="G9" s="29"/>
    </row>
    <row r="10" spans="2:11" x14ac:dyDescent="0.25">
      <c r="B10" s="177">
        <v>4</v>
      </c>
      <c r="C10" s="29" t="s">
        <v>147</v>
      </c>
      <c r="D10" s="172">
        <v>250</v>
      </c>
      <c r="E10" s="29" t="s">
        <v>324</v>
      </c>
      <c r="F10" s="29"/>
      <c r="G10" s="29"/>
    </row>
    <row r="11" spans="2:11" x14ac:dyDescent="0.25">
      <c r="B11" s="177">
        <v>5</v>
      </c>
      <c r="C11" s="29" t="s">
        <v>222</v>
      </c>
      <c r="D11" s="172">
        <v>45</v>
      </c>
      <c r="E11" s="29"/>
      <c r="F11" s="29"/>
      <c r="G11" s="29"/>
    </row>
    <row r="12" spans="2:11" x14ac:dyDescent="0.25">
      <c r="B12" s="177">
        <v>6</v>
      </c>
      <c r="C12" s="29" t="s">
        <v>342</v>
      </c>
      <c r="D12" s="172">
        <v>81</v>
      </c>
      <c r="E12" s="29"/>
      <c r="F12" s="29"/>
      <c r="G12" s="29"/>
      <c r="K12" s="30">
        <f>73/27</f>
        <v>2.7037037037037037</v>
      </c>
    </row>
    <row r="13" spans="2:11" x14ac:dyDescent="0.25">
      <c r="B13" s="177">
        <v>7</v>
      </c>
      <c r="C13" s="29" t="s">
        <v>148</v>
      </c>
      <c r="D13" s="172">
        <v>45</v>
      </c>
      <c r="E13" s="29"/>
      <c r="F13" s="29"/>
      <c r="G13" s="29"/>
    </row>
    <row r="14" spans="2:11" x14ac:dyDescent="0.25">
      <c r="B14" s="192"/>
      <c r="C14" s="193" t="s">
        <v>230</v>
      </c>
      <c r="D14" s="194">
        <f>SUM(D7:D13)</f>
        <v>825</v>
      </c>
      <c r="E14" s="29"/>
      <c r="F14" s="29"/>
      <c r="G14" s="29"/>
    </row>
    <row r="15" spans="2:11" x14ac:dyDescent="0.25">
      <c r="B15" s="178"/>
      <c r="C15" s="179"/>
      <c r="D15" s="180"/>
      <c r="E15" s="29"/>
      <c r="F15" s="29"/>
      <c r="G15" s="29"/>
      <c r="I15" s="30" t="s">
        <v>298</v>
      </c>
    </row>
    <row r="16" spans="2:11" x14ac:dyDescent="0.25">
      <c r="B16" s="276" t="s">
        <v>150</v>
      </c>
      <c r="C16" s="276"/>
      <c r="D16" s="276"/>
      <c r="E16" s="29"/>
      <c r="F16" s="29"/>
      <c r="G16" s="29"/>
      <c r="I16" s="214">
        <f>600/225</f>
        <v>2.6666666666666665</v>
      </c>
    </row>
    <row r="17" spans="2:9" x14ac:dyDescent="0.25">
      <c r="B17" s="175" t="s">
        <v>33</v>
      </c>
      <c r="C17" s="176" t="s">
        <v>3</v>
      </c>
      <c r="D17" s="175" t="str">
        <f>D6</f>
        <v>Amount (Rs. in Lakhs)</v>
      </c>
      <c r="E17" s="29"/>
      <c r="F17" s="29"/>
      <c r="G17" s="29"/>
      <c r="I17" s="216">
        <f>F19/D21</f>
        <v>0.27272727272727271</v>
      </c>
    </row>
    <row r="18" spans="2:9" x14ac:dyDescent="0.25">
      <c r="B18" s="177">
        <v>1</v>
      </c>
      <c r="C18" s="178" t="s">
        <v>215</v>
      </c>
      <c r="D18" s="181">
        <f>F18</f>
        <v>100</v>
      </c>
      <c r="E18" s="29"/>
      <c r="F18" s="29">
        <v>100</v>
      </c>
      <c r="G18" s="29"/>
      <c r="I18" s="216">
        <f>D20/D21</f>
        <v>0.72727272727272729</v>
      </c>
    </row>
    <row r="19" spans="2:9" x14ac:dyDescent="0.25">
      <c r="B19" s="177">
        <v>2</v>
      </c>
      <c r="C19" s="178" t="s">
        <v>214</v>
      </c>
      <c r="D19" s="181">
        <f>F19-F18</f>
        <v>125</v>
      </c>
      <c r="E19" s="29"/>
      <c r="F19" s="29">
        <v>225</v>
      </c>
      <c r="G19" s="29"/>
    </row>
    <row r="20" spans="2:9" x14ac:dyDescent="0.25">
      <c r="B20" s="177">
        <v>3</v>
      </c>
      <c r="C20" s="178" t="s">
        <v>151</v>
      </c>
      <c r="D20" s="181">
        <v>600</v>
      </c>
      <c r="E20" s="29"/>
      <c r="F20" s="173"/>
      <c r="G20" s="29"/>
    </row>
    <row r="21" spans="2:9" x14ac:dyDescent="0.25">
      <c r="B21" s="195"/>
      <c r="C21" s="193" t="s">
        <v>0</v>
      </c>
      <c r="D21" s="194">
        <f>D14</f>
        <v>825</v>
      </c>
      <c r="E21" s="29"/>
      <c r="F21" s="29"/>
      <c r="G21" s="29"/>
    </row>
    <row r="22" spans="2:9" x14ac:dyDescent="0.25">
      <c r="B22" s="29"/>
      <c r="C22" s="29"/>
      <c r="D22" s="29"/>
      <c r="E22" s="29"/>
      <c r="F22" s="29"/>
      <c r="G22" s="29"/>
    </row>
    <row r="23" spans="2:9" x14ac:dyDescent="0.25">
      <c r="B23" s="29"/>
      <c r="C23" s="29"/>
      <c r="D23" s="29"/>
      <c r="E23" s="29"/>
      <c r="F23" s="29"/>
      <c r="G23" s="29"/>
    </row>
  </sheetData>
  <mergeCells count="4">
    <mergeCell ref="B2:D2"/>
    <mergeCell ref="B3:D3"/>
    <mergeCell ref="B5:D5"/>
    <mergeCell ref="B16:D16"/>
  </mergeCells>
  <pageMargins left="0.7" right="0.7" top="0.75" bottom="0.75" header="0.3" footer="0.3"/>
  <pageSetup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90"/>
  <sheetViews>
    <sheetView workbookViewId="0">
      <selection activeCell="B6" sqref="B6"/>
    </sheetView>
  </sheetViews>
  <sheetFormatPr defaultRowHeight="15" x14ac:dyDescent="0.25"/>
  <cols>
    <col min="2" max="2" width="12.7109375" bestFit="1" customWidth="1"/>
    <col min="3" max="3" width="13.7109375" customWidth="1"/>
    <col min="4" max="4" width="16" customWidth="1"/>
    <col min="5" max="5" width="8" customWidth="1"/>
    <col min="6" max="6" width="7.42578125" bestFit="1" customWidth="1"/>
    <col min="7" max="7" width="19.140625" customWidth="1"/>
    <col min="8" max="8" width="14.85546875" customWidth="1"/>
    <col min="9" max="9" width="14.85546875" bestFit="1" customWidth="1"/>
  </cols>
  <sheetData>
    <row r="1" spans="2:11" x14ac:dyDescent="0.25">
      <c r="I1" s="1" t="s">
        <v>184</v>
      </c>
    </row>
    <row r="2" spans="2:11" ht="15.75" thickBot="1" x14ac:dyDescent="0.3">
      <c r="B2" t="s">
        <v>207</v>
      </c>
    </row>
    <row r="3" spans="2:11" ht="15.75" thickBot="1" x14ac:dyDescent="0.3">
      <c r="B3" s="10" t="s">
        <v>183</v>
      </c>
      <c r="C3" s="11">
        <v>511</v>
      </c>
      <c r="E3" s="10" t="s">
        <v>185</v>
      </c>
      <c r="F3" s="12">
        <v>0.09</v>
      </c>
      <c r="H3" s="10" t="s">
        <v>80</v>
      </c>
      <c r="I3" s="11">
        <v>8.2200000000000006</v>
      </c>
    </row>
    <row r="5" spans="2:11" ht="15.75" thickBot="1" x14ac:dyDescent="0.3">
      <c r="B5" s="1" t="s">
        <v>182</v>
      </c>
      <c r="C5" s="1" t="s">
        <v>179</v>
      </c>
      <c r="D5" s="1" t="s">
        <v>30</v>
      </c>
      <c r="E5" s="1" t="s">
        <v>180</v>
      </c>
      <c r="F5" s="1" t="s">
        <v>80</v>
      </c>
      <c r="G5" s="1" t="s">
        <v>181</v>
      </c>
      <c r="H5" s="1" t="s">
        <v>32</v>
      </c>
      <c r="I5" s="1" t="s">
        <v>104</v>
      </c>
    </row>
    <row r="6" spans="2:11" x14ac:dyDescent="0.25">
      <c r="B6" s="2">
        <v>1</v>
      </c>
      <c r="C6" s="3">
        <v>44308</v>
      </c>
      <c r="D6" s="14">
        <f>C3</f>
        <v>511</v>
      </c>
      <c r="E6" s="14">
        <f>D6*$F$3/12</f>
        <v>3.8324999999999996</v>
      </c>
      <c r="F6" s="14">
        <f>I3</f>
        <v>8.2200000000000006</v>
      </c>
      <c r="G6" s="14">
        <f>F6-E6</f>
        <v>4.3875000000000011</v>
      </c>
      <c r="H6" s="14">
        <f>D6+E6-F6</f>
        <v>506.61249999999995</v>
      </c>
      <c r="I6" s="4"/>
      <c r="K6">
        <f>7*12</f>
        <v>84</v>
      </c>
    </row>
    <row r="7" spans="2:11" x14ac:dyDescent="0.25">
      <c r="B7" s="5">
        <v>2</v>
      </c>
      <c r="C7" s="6">
        <v>44338</v>
      </c>
      <c r="D7" s="13">
        <f>H6</f>
        <v>506.61249999999995</v>
      </c>
      <c r="E7" s="13">
        <f>D7*$F$3/12</f>
        <v>3.7995937499999997</v>
      </c>
      <c r="F7" s="13">
        <f>F6</f>
        <v>8.2200000000000006</v>
      </c>
      <c r="G7" s="13">
        <f>F7-E7</f>
        <v>4.420406250000001</v>
      </c>
      <c r="H7" s="13">
        <f>D7+E7-F7</f>
        <v>502.19209374999991</v>
      </c>
      <c r="I7" s="7"/>
    </row>
    <row r="8" spans="2:11" x14ac:dyDescent="0.25">
      <c r="B8" s="5">
        <v>3</v>
      </c>
      <c r="C8" s="6">
        <v>44369</v>
      </c>
      <c r="D8" s="13">
        <f>H7</f>
        <v>502.19209374999991</v>
      </c>
      <c r="E8" s="13">
        <f>D8*$F$3/12</f>
        <v>3.7664407031249993</v>
      </c>
      <c r="F8" s="13">
        <f>F7</f>
        <v>8.2200000000000006</v>
      </c>
      <c r="G8" s="13">
        <f>F8-E8</f>
        <v>4.4535592968750013</v>
      </c>
      <c r="H8" s="13">
        <f>D8+E8-F8</f>
        <v>497.73853445312488</v>
      </c>
      <c r="I8" s="7"/>
    </row>
    <row r="9" spans="2:11" x14ac:dyDescent="0.25">
      <c r="B9" s="5">
        <v>4</v>
      </c>
      <c r="C9" s="6">
        <v>44399</v>
      </c>
      <c r="D9" s="13">
        <f t="shared" ref="D9:D72" si="0">H8</f>
        <v>497.73853445312488</v>
      </c>
      <c r="E9" s="13">
        <f t="shared" ref="E9:E72" si="1">D9*$F$3/12</f>
        <v>3.7330390083984368</v>
      </c>
      <c r="F9" s="13">
        <f t="shared" ref="F9:F72" si="2">F8</f>
        <v>8.2200000000000006</v>
      </c>
      <c r="G9" s="13">
        <f t="shared" ref="G9:G72" si="3">F9-E9</f>
        <v>4.4869609916015634</v>
      </c>
      <c r="H9" s="13">
        <f t="shared" ref="H9:H72" si="4">D9+E9-F9</f>
        <v>493.25157346152332</v>
      </c>
      <c r="I9" s="7"/>
    </row>
    <row r="10" spans="2:11" x14ac:dyDescent="0.25">
      <c r="B10" s="5">
        <v>5</v>
      </c>
      <c r="C10" s="6">
        <v>44430</v>
      </c>
      <c r="D10" s="13">
        <f t="shared" si="0"/>
        <v>493.25157346152332</v>
      </c>
      <c r="E10" s="13">
        <f t="shared" si="1"/>
        <v>3.6993868009614244</v>
      </c>
      <c r="F10" s="13">
        <f t="shared" si="2"/>
        <v>8.2200000000000006</v>
      </c>
      <c r="G10" s="13">
        <f t="shared" si="3"/>
        <v>4.5206131990385767</v>
      </c>
      <c r="H10" s="13">
        <f t="shared" si="4"/>
        <v>488.7309602624847</v>
      </c>
      <c r="I10" s="7"/>
    </row>
    <row r="11" spans="2:11" x14ac:dyDescent="0.25">
      <c r="B11" s="5">
        <v>6</v>
      </c>
      <c r="C11" s="6">
        <v>44461</v>
      </c>
      <c r="D11" s="13">
        <f t="shared" si="0"/>
        <v>488.7309602624847</v>
      </c>
      <c r="E11" s="13">
        <f t="shared" si="1"/>
        <v>3.6654822019686351</v>
      </c>
      <c r="F11" s="13">
        <f t="shared" si="2"/>
        <v>8.2200000000000006</v>
      </c>
      <c r="G11" s="13">
        <f t="shared" si="3"/>
        <v>4.554517798031366</v>
      </c>
      <c r="H11" s="13">
        <f t="shared" si="4"/>
        <v>484.17644246445332</v>
      </c>
      <c r="I11" s="7"/>
    </row>
    <row r="12" spans="2:11" x14ac:dyDescent="0.25">
      <c r="B12" s="5">
        <v>7</v>
      </c>
      <c r="C12" s="6">
        <v>44491</v>
      </c>
      <c r="D12" s="13">
        <f t="shared" si="0"/>
        <v>484.17644246445332</v>
      </c>
      <c r="E12" s="13">
        <f t="shared" si="1"/>
        <v>3.6313233184833997</v>
      </c>
      <c r="F12" s="13">
        <f t="shared" si="2"/>
        <v>8.2200000000000006</v>
      </c>
      <c r="G12" s="13">
        <f t="shared" si="3"/>
        <v>4.5886766815166009</v>
      </c>
      <c r="H12" s="13">
        <f t="shared" si="4"/>
        <v>479.58776578293669</v>
      </c>
      <c r="I12" s="7"/>
    </row>
    <row r="13" spans="2:11" x14ac:dyDescent="0.25">
      <c r="B13" s="5">
        <v>8</v>
      </c>
      <c r="C13" s="6">
        <v>44522</v>
      </c>
      <c r="D13" s="13">
        <f t="shared" si="0"/>
        <v>479.58776578293669</v>
      </c>
      <c r="E13" s="13">
        <f t="shared" si="1"/>
        <v>3.5969082433720252</v>
      </c>
      <c r="F13" s="13">
        <f t="shared" si="2"/>
        <v>8.2200000000000006</v>
      </c>
      <c r="G13" s="13">
        <f t="shared" si="3"/>
        <v>4.623091756627975</v>
      </c>
      <c r="H13" s="13">
        <f t="shared" si="4"/>
        <v>474.96467402630867</v>
      </c>
      <c r="I13" s="7"/>
    </row>
    <row r="14" spans="2:11" x14ac:dyDescent="0.25">
      <c r="B14" s="5">
        <v>9</v>
      </c>
      <c r="C14" s="6">
        <v>44552</v>
      </c>
      <c r="D14" s="13">
        <f t="shared" si="0"/>
        <v>474.96467402630867</v>
      </c>
      <c r="E14" s="13">
        <f t="shared" si="1"/>
        <v>3.562235055197315</v>
      </c>
      <c r="F14" s="13">
        <f t="shared" si="2"/>
        <v>8.2200000000000006</v>
      </c>
      <c r="G14" s="13">
        <f t="shared" si="3"/>
        <v>4.6577649448026861</v>
      </c>
      <c r="H14" s="13">
        <f t="shared" si="4"/>
        <v>470.30690908150598</v>
      </c>
      <c r="I14" s="7"/>
    </row>
    <row r="15" spans="2:11" x14ac:dyDescent="0.25">
      <c r="B15" s="5">
        <v>10</v>
      </c>
      <c r="C15" s="6">
        <v>44583</v>
      </c>
      <c r="D15" s="13">
        <f t="shared" si="0"/>
        <v>470.30690908150598</v>
      </c>
      <c r="E15" s="13">
        <f t="shared" si="1"/>
        <v>3.5273018181112943</v>
      </c>
      <c r="F15" s="13">
        <f t="shared" si="2"/>
        <v>8.2200000000000006</v>
      </c>
      <c r="G15" s="13">
        <f t="shared" si="3"/>
        <v>4.6926981818887068</v>
      </c>
      <c r="H15" s="13">
        <f t="shared" si="4"/>
        <v>465.61421089961726</v>
      </c>
      <c r="I15" s="7"/>
    </row>
    <row r="16" spans="2:11" x14ac:dyDescent="0.25">
      <c r="B16" s="5">
        <v>11</v>
      </c>
      <c r="C16" s="6">
        <v>44614</v>
      </c>
      <c r="D16" s="13">
        <f t="shared" si="0"/>
        <v>465.61421089961726</v>
      </c>
      <c r="E16" s="13">
        <f t="shared" si="1"/>
        <v>3.4921065817471297</v>
      </c>
      <c r="F16" s="13">
        <f t="shared" si="2"/>
        <v>8.2200000000000006</v>
      </c>
      <c r="G16" s="13">
        <f t="shared" si="3"/>
        <v>4.7278934182528705</v>
      </c>
      <c r="H16" s="13">
        <f t="shared" si="4"/>
        <v>460.88631748136436</v>
      </c>
      <c r="I16" s="7"/>
    </row>
    <row r="17" spans="2:9" ht="15.75" thickBot="1" x14ac:dyDescent="0.3">
      <c r="B17" s="8">
        <v>12</v>
      </c>
      <c r="C17" s="9">
        <v>44642</v>
      </c>
      <c r="D17" s="15">
        <f t="shared" si="0"/>
        <v>460.88631748136436</v>
      </c>
      <c r="E17" s="15">
        <f t="shared" si="1"/>
        <v>3.456647381110233</v>
      </c>
      <c r="F17" s="15">
        <f t="shared" si="2"/>
        <v>8.2200000000000006</v>
      </c>
      <c r="G17" s="15">
        <f t="shared" si="3"/>
        <v>4.7633526188897672</v>
      </c>
      <c r="H17" s="15">
        <f t="shared" si="4"/>
        <v>456.12296486247459</v>
      </c>
      <c r="I17" s="17">
        <f>SUM(E6:E17)</f>
        <v>43.762964862474895</v>
      </c>
    </row>
    <row r="18" spans="2:9" x14ac:dyDescent="0.25">
      <c r="B18" s="2">
        <v>13</v>
      </c>
      <c r="C18" s="3">
        <v>44673</v>
      </c>
      <c r="D18" s="14">
        <f t="shared" si="0"/>
        <v>456.12296486247459</v>
      </c>
      <c r="E18" s="14">
        <f t="shared" si="1"/>
        <v>3.4209222364685594</v>
      </c>
      <c r="F18" s="14">
        <f t="shared" si="2"/>
        <v>8.2200000000000006</v>
      </c>
      <c r="G18" s="14">
        <f t="shared" si="3"/>
        <v>4.7990777635314412</v>
      </c>
      <c r="H18" s="14">
        <f t="shared" si="4"/>
        <v>451.32388709894315</v>
      </c>
      <c r="I18" s="4"/>
    </row>
    <row r="19" spans="2:9" x14ac:dyDescent="0.25">
      <c r="B19" s="5">
        <v>14</v>
      </c>
      <c r="C19" s="6">
        <v>44703</v>
      </c>
      <c r="D19" s="13">
        <f t="shared" si="0"/>
        <v>451.32388709894315</v>
      </c>
      <c r="E19" s="13">
        <f t="shared" si="1"/>
        <v>3.3849291532420733</v>
      </c>
      <c r="F19" s="13">
        <f t="shared" si="2"/>
        <v>8.2200000000000006</v>
      </c>
      <c r="G19" s="13">
        <f t="shared" si="3"/>
        <v>4.8350708467579278</v>
      </c>
      <c r="H19" s="13">
        <f t="shared" si="4"/>
        <v>446.48881625218519</v>
      </c>
      <c r="I19" s="7"/>
    </row>
    <row r="20" spans="2:9" x14ac:dyDescent="0.25">
      <c r="B20" s="5">
        <v>15</v>
      </c>
      <c r="C20" s="6">
        <v>44734</v>
      </c>
      <c r="D20" s="13">
        <f t="shared" si="0"/>
        <v>446.48881625218519</v>
      </c>
      <c r="E20" s="13">
        <f t="shared" si="1"/>
        <v>3.3486661218913887</v>
      </c>
      <c r="F20" s="13">
        <f t="shared" si="2"/>
        <v>8.2200000000000006</v>
      </c>
      <c r="G20" s="13">
        <f t="shared" si="3"/>
        <v>4.8713338781086115</v>
      </c>
      <c r="H20" s="13">
        <f t="shared" si="4"/>
        <v>441.61748237407653</v>
      </c>
      <c r="I20" s="7"/>
    </row>
    <row r="21" spans="2:9" x14ac:dyDescent="0.25">
      <c r="B21" s="5">
        <v>16</v>
      </c>
      <c r="C21" s="6">
        <v>44764</v>
      </c>
      <c r="D21" s="13">
        <f t="shared" si="0"/>
        <v>441.61748237407653</v>
      </c>
      <c r="E21" s="13">
        <f t="shared" si="1"/>
        <v>3.3121311178055741</v>
      </c>
      <c r="F21" s="13">
        <f t="shared" si="2"/>
        <v>8.2200000000000006</v>
      </c>
      <c r="G21" s="13">
        <f t="shared" si="3"/>
        <v>4.9078688821944265</v>
      </c>
      <c r="H21" s="13">
        <f t="shared" si="4"/>
        <v>436.70961349188207</v>
      </c>
      <c r="I21" s="7"/>
    </row>
    <row r="22" spans="2:9" x14ac:dyDescent="0.25">
      <c r="B22" s="5">
        <v>17</v>
      </c>
      <c r="C22" s="6">
        <v>44795</v>
      </c>
      <c r="D22" s="13">
        <f t="shared" si="0"/>
        <v>436.70961349188207</v>
      </c>
      <c r="E22" s="13">
        <f t="shared" si="1"/>
        <v>3.2753221011891154</v>
      </c>
      <c r="F22" s="13">
        <f t="shared" si="2"/>
        <v>8.2200000000000006</v>
      </c>
      <c r="G22" s="13">
        <f t="shared" si="3"/>
        <v>4.9446778988108857</v>
      </c>
      <c r="H22" s="13">
        <f t="shared" si="4"/>
        <v>431.76493559307113</v>
      </c>
      <c r="I22" s="7"/>
    </row>
    <row r="23" spans="2:9" x14ac:dyDescent="0.25">
      <c r="B23" s="5">
        <v>18</v>
      </c>
      <c r="C23" s="6">
        <v>44826</v>
      </c>
      <c r="D23" s="13">
        <f t="shared" si="0"/>
        <v>431.76493559307113</v>
      </c>
      <c r="E23" s="13">
        <f t="shared" si="1"/>
        <v>3.2382370169480335</v>
      </c>
      <c r="F23" s="13">
        <f t="shared" si="2"/>
        <v>8.2200000000000006</v>
      </c>
      <c r="G23" s="13">
        <f t="shared" si="3"/>
        <v>4.9817629830519667</v>
      </c>
      <c r="H23" s="13">
        <f t="shared" si="4"/>
        <v>426.78317261001911</v>
      </c>
      <c r="I23" s="7"/>
    </row>
    <row r="24" spans="2:9" x14ac:dyDescent="0.25">
      <c r="B24" s="5">
        <v>19</v>
      </c>
      <c r="C24" s="6">
        <v>44856</v>
      </c>
      <c r="D24" s="13">
        <f t="shared" si="0"/>
        <v>426.78317261001911</v>
      </c>
      <c r="E24" s="13">
        <f t="shared" si="1"/>
        <v>3.2008737945751431</v>
      </c>
      <c r="F24" s="13">
        <f t="shared" si="2"/>
        <v>8.2200000000000006</v>
      </c>
      <c r="G24" s="13">
        <f t="shared" si="3"/>
        <v>5.0191262054248575</v>
      </c>
      <c r="H24" s="13">
        <f t="shared" si="4"/>
        <v>421.76404640459424</v>
      </c>
      <c r="I24" s="7"/>
    </row>
    <row r="25" spans="2:9" x14ac:dyDescent="0.25">
      <c r="B25" s="5">
        <v>20</v>
      </c>
      <c r="C25" s="6">
        <v>44887</v>
      </c>
      <c r="D25" s="13">
        <f t="shared" si="0"/>
        <v>421.76404640459424</v>
      </c>
      <c r="E25" s="13">
        <f t="shared" si="1"/>
        <v>3.1632303480344568</v>
      </c>
      <c r="F25" s="13">
        <f t="shared" si="2"/>
        <v>8.2200000000000006</v>
      </c>
      <c r="G25" s="13">
        <f t="shared" si="3"/>
        <v>5.0567696519655438</v>
      </c>
      <c r="H25" s="13">
        <f t="shared" si="4"/>
        <v>416.70727675262867</v>
      </c>
      <c r="I25" s="7"/>
    </row>
    <row r="26" spans="2:9" x14ac:dyDescent="0.25">
      <c r="B26" s="5">
        <v>21</v>
      </c>
      <c r="C26" s="6">
        <v>44917</v>
      </c>
      <c r="D26" s="13">
        <f t="shared" si="0"/>
        <v>416.70727675262867</v>
      </c>
      <c r="E26" s="13">
        <f t="shared" si="1"/>
        <v>3.1253045756447153</v>
      </c>
      <c r="F26" s="13">
        <f t="shared" si="2"/>
        <v>8.2200000000000006</v>
      </c>
      <c r="G26" s="13">
        <f t="shared" si="3"/>
        <v>5.0946954243552849</v>
      </c>
      <c r="H26" s="13">
        <f t="shared" si="4"/>
        <v>411.61258132827334</v>
      </c>
      <c r="I26" s="7"/>
    </row>
    <row r="27" spans="2:9" x14ac:dyDescent="0.25">
      <c r="B27" s="5">
        <v>22</v>
      </c>
      <c r="C27" s="6">
        <v>44948</v>
      </c>
      <c r="D27" s="13">
        <f t="shared" si="0"/>
        <v>411.61258132827334</v>
      </c>
      <c r="E27" s="13">
        <f t="shared" si="1"/>
        <v>3.0870943599620499</v>
      </c>
      <c r="F27" s="13">
        <f t="shared" si="2"/>
        <v>8.2200000000000006</v>
      </c>
      <c r="G27" s="13">
        <f t="shared" si="3"/>
        <v>5.1329056400379507</v>
      </c>
      <c r="H27" s="13">
        <f t="shared" si="4"/>
        <v>406.47967568823537</v>
      </c>
      <c r="I27" s="7"/>
    </row>
    <row r="28" spans="2:9" x14ac:dyDescent="0.25">
      <c r="B28" s="5">
        <v>23</v>
      </c>
      <c r="C28" s="6">
        <v>44979</v>
      </c>
      <c r="D28" s="13">
        <f t="shared" si="0"/>
        <v>406.47967568823537</v>
      </c>
      <c r="E28" s="13">
        <f t="shared" si="1"/>
        <v>3.0485975676617652</v>
      </c>
      <c r="F28" s="13">
        <f t="shared" si="2"/>
        <v>8.2200000000000006</v>
      </c>
      <c r="G28" s="13">
        <f t="shared" si="3"/>
        <v>5.171402432338235</v>
      </c>
      <c r="H28" s="13">
        <f t="shared" si="4"/>
        <v>401.30827325589712</v>
      </c>
      <c r="I28" s="7"/>
    </row>
    <row r="29" spans="2:9" ht="15.75" thickBot="1" x14ac:dyDescent="0.3">
      <c r="B29" s="8">
        <v>24</v>
      </c>
      <c r="C29" s="9">
        <v>45007</v>
      </c>
      <c r="D29" s="15">
        <f t="shared" si="0"/>
        <v>401.30827325589712</v>
      </c>
      <c r="E29" s="15">
        <f t="shared" si="1"/>
        <v>3.0098120494192284</v>
      </c>
      <c r="F29" s="15">
        <f t="shared" si="2"/>
        <v>8.2200000000000006</v>
      </c>
      <c r="G29" s="15">
        <f t="shared" si="3"/>
        <v>5.2101879505807727</v>
      </c>
      <c r="H29" s="15">
        <f t="shared" si="4"/>
        <v>396.09808530531632</v>
      </c>
      <c r="I29" s="17">
        <f>SUM(E18:E29)</f>
        <v>38.615120442842112</v>
      </c>
    </row>
    <row r="30" spans="2:9" x14ac:dyDescent="0.25">
      <c r="B30" s="2">
        <v>25</v>
      </c>
      <c r="C30" s="3">
        <v>45038</v>
      </c>
      <c r="D30" s="14">
        <f t="shared" si="0"/>
        <v>396.09808530531632</v>
      </c>
      <c r="E30" s="14">
        <f t="shared" si="1"/>
        <v>2.9707356397898721</v>
      </c>
      <c r="F30" s="14">
        <f t="shared" si="2"/>
        <v>8.2200000000000006</v>
      </c>
      <c r="G30" s="14">
        <f t="shared" si="3"/>
        <v>5.2492643602101285</v>
      </c>
      <c r="H30" s="14">
        <f t="shared" si="4"/>
        <v>390.84882094510618</v>
      </c>
      <c r="I30" s="4"/>
    </row>
    <row r="31" spans="2:9" x14ac:dyDescent="0.25">
      <c r="B31" s="5">
        <v>26</v>
      </c>
      <c r="C31" s="6">
        <v>45068</v>
      </c>
      <c r="D31" s="13">
        <f t="shared" si="0"/>
        <v>390.84882094510618</v>
      </c>
      <c r="E31" s="13">
        <f t="shared" si="1"/>
        <v>2.9313661570882963</v>
      </c>
      <c r="F31" s="13">
        <f t="shared" si="2"/>
        <v>8.2200000000000006</v>
      </c>
      <c r="G31" s="13">
        <f t="shared" si="3"/>
        <v>5.2886338429117039</v>
      </c>
      <c r="H31" s="13">
        <f t="shared" si="4"/>
        <v>385.56018710219445</v>
      </c>
      <c r="I31" s="7"/>
    </row>
    <row r="32" spans="2:9" x14ac:dyDescent="0.25">
      <c r="B32" s="5">
        <v>27</v>
      </c>
      <c r="C32" s="6">
        <v>45099</v>
      </c>
      <c r="D32" s="13">
        <f t="shared" si="0"/>
        <v>385.56018710219445</v>
      </c>
      <c r="E32" s="13">
        <f t="shared" si="1"/>
        <v>2.8917014032664583</v>
      </c>
      <c r="F32" s="13">
        <f t="shared" si="2"/>
        <v>8.2200000000000006</v>
      </c>
      <c r="G32" s="13">
        <f t="shared" si="3"/>
        <v>5.3282985967335428</v>
      </c>
      <c r="H32" s="13">
        <f t="shared" si="4"/>
        <v>380.23188850546086</v>
      </c>
      <c r="I32" s="7"/>
    </row>
    <row r="33" spans="2:9" x14ac:dyDescent="0.25">
      <c r="B33" s="5">
        <v>28</v>
      </c>
      <c r="C33" s="6">
        <v>45129</v>
      </c>
      <c r="D33" s="13">
        <f t="shared" si="0"/>
        <v>380.23188850546086</v>
      </c>
      <c r="E33" s="13">
        <f t="shared" si="1"/>
        <v>2.8517391637909562</v>
      </c>
      <c r="F33" s="13">
        <f t="shared" si="2"/>
        <v>8.2200000000000006</v>
      </c>
      <c r="G33" s="13">
        <f t="shared" si="3"/>
        <v>5.3682608362090445</v>
      </c>
      <c r="H33" s="13">
        <f t="shared" si="4"/>
        <v>374.8636276692518</v>
      </c>
      <c r="I33" s="7"/>
    </row>
    <row r="34" spans="2:9" x14ac:dyDescent="0.25">
      <c r="B34" s="5">
        <v>29</v>
      </c>
      <c r="C34" s="6">
        <v>45160</v>
      </c>
      <c r="D34" s="13">
        <f t="shared" si="0"/>
        <v>374.8636276692518</v>
      </c>
      <c r="E34" s="13">
        <f t="shared" si="1"/>
        <v>2.8114772075193883</v>
      </c>
      <c r="F34" s="13">
        <f t="shared" si="2"/>
        <v>8.2200000000000006</v>
      </c>
      <c r="G34" s="13">
        <f t="shared" si="3"/>
        <v>5.4085227924806123</v>
      </c>
      <c r="H34" s="13">
        <f t="shared" si="4"/>
        <v>369.45510487677114</v>
      </c>
      <c r="I34" s="7"/>
    </row>
    <row r="35" spans="2:9" x14ac:dyDescent="0.25">
      <c r="B35" s="5">
        <v>30</v>
      </c>
      <c r="C35" s="6">
        <v>45191</v>
      </c>
      <c r="D35" s="13">
        <f t="shared" si="0"/>
        <v>369.45510487677114</v>
      </c>
      <c r="E35" s="13">
        <f t="shared" si="1"/>
        <v>2.7709132865757837</v>
      </c>
      <c r="F35" s="13">
        <f t="shared" si="2"/>
        <v>8.2200000000000006</v>
      </c>
      <c r="G35" s="13">
        <f t="shared" si="3"/>
        <v>5.4490867134242169</v>
      </c>
      <c r="H35" s="13">
        <f t="shared" si="4"/>
        <v>364.00601816334688</v>
      </c>
      <c r="I35" s="7"/>
    </row>
    <row r="36" spans="2:9" x14ac:dyDescent="0.25">
      <c r="B36" s="5">
        <v>31</v>
      </c>
      <c r="C36" s="6">
        <v>45221</v>
      </c>
      <c r="D36" s="13">
        <f t="shared" si="0"/>
        <v>364.00601816334688</v>
      </c>
      <c r="E36" s="13">
        <f t="shared" si="1"/>
        <v>2.7300451362251015</v>
      </c>
      <c r="F36" s="13">
        <f t="shared" si="2"/>
        <v>8.2200000000000006</v>
      </c>
      <c r="G36" s="13">
        <f t="shared" si="3"/>
        <v>5.4899548637748996</v>
      </c>
      <c r="H36" s="13">
        <f t="shared" si="4"/>
        <v>358.51606329957195</v>
      </c>
      <c r="I36" s="7"/>
    </row>
    <row r="37" spans="2:9" x14ac:dyDescent="0.25">
      <c r="B37" s="5">
        <v>32</v>
      </c>
      <c r="C37" s="6">
        <v>45252</v>
      </c>
      <c r="D37" s="13">
        <f t="shared" si="0"/>
        <v>358.51606329957195</v>
      </c>
      <c r="E37" s="13">
        <f t="shared" si="1"/>
        <v>2.6888704747467895</v>
      </c>
      <c r="F37" s="13">
        <f t="shared" si="2"/>
        <v>8.2200000000000006</v>
      </c>
      <c r="G37" s="13">
        <f t="shared" si="3"/>
        <v>5.5311295252532116</v>
      </c>
      <c r="H37" s="13">
        <f t="shared" si="4"/>
        <v>352.98493377431873</v>
      </c>
      <c r="I37" s="7"/>
    </row>
    <row r="38" spans="2:9" x14ac:dyDescent="0.25">
      <c r="B38" s="5">
        <v>33</v>
      </c>
      <c r="C38" s="6">
        <v>45282</v>
      </c>
      <c r="D38" s="13">
        <f t="shared" si="0"/>
        <v>352.98493377431873</v>
      </c>
      <c r="E38" s="13">
        <f t="shared" si="1"/>
        <v>2.6473870033073905</v>
      </c>
      <c r="F38" s="13">
        <f t="shared" si="2"/>
        <v>8.2200000000000006</v>
      </c>
      <c r="G38" s="13">
        <f t="shared" si="3"/>
        <v>5.5726129966926106</v>
      </c>
      <c r="H38" s="13">
        <f t="shared" si="4"/>
        <v>347.41232077762612</v>
      </c>
      <c r="I38" s="7"/>
    </row>
    <row r="39" spans="2:9" x14ac:dyDescent="0.25">
      <c r="B39" s="5">
        <v>34</v>
      </c>
      <c r="C39" s="6">
        <v>45313</v>
      </c>
      <c r="D39" s="13">
        <f t="shared" si="0"/>
        <v>347.41232077762612</v>
      </c>
      <c r="E39" s="13">
        <f t="shared" si="1"/>
        <v>2.6055924058321955</v>
      </c>
      <c r="F39" s="13">
        <f t="shared" si="2"/>
        <v>8.2200000000000006</v>
      </c>
      <c r="G39" s="13">
        <f t="shared" si="3"/>
        <v>5.6144075941678047</v>
      </c>
      <c r="H39" s="13">
        <f t="shared" si="4"/>
        <v>341.79791318345826</v>
      </c>
      <c r="I39" s="7"/>
    </row>
    <row r="40" spans="2:9" x14ac:dyDescent="0.25">
      <c r="B40" s="5">
        <v>35</v>
      </c>
      <c r="C40" s="6">
        <v>45344</v>
      </c>
      <c r="D40" s="13">
        <f t="shared" si="0"/>
        <v>341.79791318345826</v>
      </c>
      <c r="E40" s="13">
        <f t="shared" si="1"/>
        <v>2.5634843488759369</v>
      </c>
      <c r="F40" s="13">
        <f t="shared" si="2"/>
        <v>8.2200000000000006</v>
      </c>
      <c r="G40" s="13">
        <f t="shared" si="3"/>
        <v>5.6565156511240637</v>
      </c>
      <c r="H40" s="13">
        <f t="shared" si="4"/>
        <v>336.14139753233417</v>
      </c>
      <c r="I40" s="7"/>
    </row>
    <row r="41" spans="2:9" ht="15.75" thickBot="1" x14ac:dyDescent="0.3">
      <c r="B41" s="8">
        <v>36</v>
      </c>
      <c r="C41" s="9">
        <v>45373</v>
      </c>
      <c r="D41" s="15">
        <f t="shared" si="0"/>
        <v>336.14139753233417</v>
      </c>
      <c r="E41" s="15">
        <f t="shared" si="1"/>
        <v>2.5210604814925062</v>
      </c>
      <c r="F41" s="15">
        <f t="shared" si="2"/>
        <v>8.2200000000000006</v>
      </c>
      <c r="G41" s="15">
        <f t="shared" si="3"/>
        <v>5.698939518507494</v>
      </c>
      <c r="H41" s="15">
        <f t="shared" si="4"/>
        <v>330.44245801382664</v>
      </c>
      <c r="I41" s="17">
        <f>SUM(E30:E41)</f>
        <v>32.984372708510669</v>
      </c>
    </row>
    <row r="42" spans="2:9" x14ac:dyDescent="0.25">
      <c r="B42" s="2">
        <v>37</v>
      </c>
      <c r="C42" s="3">
        <v>45404</v>
      </c>
      <c r="D42" s="14">
        <f t="shared" si="0"/>
        <v>330.44245801382664</v>
      </c>
      <c r="E42" s="14">
        <f t="shared" si="1"/>
        <v>2.4783184351037</v>
      </c>
      <c r="F42" s="14">
        <f t="shared" si="2"/>
        <v>8.2200000000000006</v>
      </c>
      <c r="G42" s="14">
        <f t="shared" si="3"/>
        <v>5.7416815648963002</v>
      </c>
      <c r="H42" s="14">
        <f t="shared" si="4"/>
        <v>324.7007764489303</v>
      </c>
      <c r="I42" s="4"/>
    </row>
    <row r="43" spans="2:9" x14ac:dyDescent="0.25">
      <c r="B43" s="5">
        <v>38</v>
      </c>
      <c r="C43" s="6">
        <v>45434</v>
      </c>
      <c r="D43" s="13">
        <f t="shared" si="0"/>
        <v>324.7007764489303</v>
      </c>
      <c r="E43" s="13">
        <f t="shared" si="1"/>
        <v>2.4352558233669774</v>
      </c>
      <c r="F43" s="13">
        <f t="shared" si="2"/>
        <v>8.2200000000000006</v>
      </c>
      <c r="G43" s="13">
        <f t="shared" si="3"/>
        <v>5.7847441766330228</v>
      </c>
      <c r="H43" s="13">
        <f t="shared" si="4"/>
        <v>318.91603227229723</v>
      </c>
      <c r="I43" s="7"/>
    </row>
    <row r="44" spans="2:9" x14ac:dyDescent="0.25">
      <c r="B44" s="5">
        <v>39</v>
      </c>
      <c r="C44" s="6">
        <v>45465</v>
      </c>
      <c r="D44" s="13">
        <f t="shared" si="0"/>
        <v>318.91603227229723</v>
      </c>
      <c r="E44" s="13">
        <f t="shared" si="1"/>
        <v>2.3918702420422293</v>
      </c>
      <c r="F44" s="13">
        <f t="shared" si="2"/>
        <v>8.2200000000000006</v>
      </c>
      <c r="G44" s="13">
        <f t="shared" si="3"/>
        <v>5.8281297579577718</v>
      </c>
      <c r="H44" s="13">
        <f t="shared" si="4"/>
        <v>313.08790251433942</v>
      </c>
      <c r="I44" s="7"/>
    </row>
    <row r="45" spans="2:9" x14ac:dyDescent="0.25">
      <c r="B45" s="5">
        <v>40</v>
      </c>
      <c r="C45" s="6">
        <v>45495</v>
      </c>
      <c r="D45" s="13">
        <f t="shared" si="0"/>
        <v>313.08790251433942</v>
      </c>
      <c r="E45" s="13">
        <f t="shared" si="1"/>
        <v>2.3481592688575454</v>
      </c>
      <c r="F45" s="13">
        <f t="shared" si="2"/>
        <v>8.2200000000000006</v>
      </c>
      <c r="G45" s="13">
        <f t="shared" si="3"/>
        <v>5.8718407311424556</v>
      </c>
      <c r="H45" s="13">
        <f t="shared" si="4"/>
        <v>307.21606178319695</v>
      </c>
      <c r="I45" s="7"/>
    </row>
    <row r="46" spans="2:9" x14ac:dyDescent="0.25">
      <c r="B46" s="5">
        <v>41</v>
      </c>
      <c r="C46" s="6">
        <v>45526</v>
      </c>
      <c r="D46" s="13">
        <f t="shared" si="0"/>
        <v>307.21606178319695</v>
      </c>
      <c r="E46" s="13">
        <f t="shared" si="1"/>
        <v>2.3041204633739771</v>
      </c>
      <c r="F46" s="13">
        <f t="shared" si="2"/>
        <v>8.2200000000000006</v>
      </c>
      <c r="G46" s="13">
        <f t="shared" si="3"/>
        <v>5.9158795366260239</v>
      </c>
      <c r="H46" s="13">
        <f t="shared" si="4"/>
        <v>301.3001822465709</v>
      </c>
      <c r="I46" s="7"/>
    </row>
    <row r="47" spans="2:9" x14ac:dyDescent="0.25">
      <c r="B47" s="5">
        <v>42</v>
      </c>
      <c r="C47" s="6">
        <v>45557</v>
      </c>
      <c r="D47" s="13">
        <f t="shared" si="0"/>
        <v>301.3001822465709</v>
      </c>
      <c r="E47" s="13">
        <f t="shared" si="1"/>
        <v>2.2597513668492817</v>
      </c>
      <c r="F47" s="13">
        <f t="shared" si="2"/>
        <v>8.2200000000000006</v>
      </c>
      <c r="G47" s="13">
        <f t="shared" si="3"/>
        <v>5.9602486331507194</v>
      </c>
      <c r="H47" s="13">
        <f t="shared" si="4"/>
        <v>295.33993361342016</v>
      </c>
      <c r="I47" s="7"/>
    </row>
    <row r="48" spans="2:9" x14ac:dyDescent="0.25">
      <c r="B48" s="5">
        <v>43</v>
      </c>
      <c r="C48" s="6">
        <v>45587</v>
      </c>
      <c r="D48" s="13">
        <f t="shared" si="0"/>
        <v>295.33993361342016</v>
      </c>
      <c r="E48" s="13">
        <f t="shared" si="1"/>
        <v>2.2150495021006509</v>
      </c>
      <c r="F48" s="13">
        <f t="shared" si="2"/>
        <v>8.2200000000000006</v>
      </c>
      <c r="G48" s="13">
        <f t="shared" si="3"/>
        <v>6.0049504978993493</v>
      </c>
      <c r="H48" s="13">
        <f t="shared" si="4"/>
        <v>289.3349831155208</v>
      </c>
      <c r="I48" s="7"/>
    </row>
    <row r="49" spans="2:9" x14ac:dyDescent="0.25">
      <c r="B49" s="5">
        <v>44</v>
      </c>
      <c r="C49" s="6">
        <v>45618</v>
      </c>
      <c r="D49" s="13">
        <f t="shared" si="0"/>
        <v>289.3349831155208</v>
      </c>
      <c r="E49" s="13">
        <f t="shared" si="1"/>
        <v>2.1700123733664056</v>
      </c>
      <c r="F49" s="13">
        <f t="shared" si="2"/>
        <v>8.2200000000000006</v>
      </c>
      <c r="G49" s="13">
        <f t="shared" si="3"/>
        <v>6.0499876266335946</v>
      </c>
      <c r="H49" s="13">
        <f t="shared" si="4"/>
        <v>283.2849954888872</v>
      </c>
      <c r="I49" s="7"/>
    </row>
    <row r="50" spans="2:9" x14ac:dyDescent="0.25">
      <c r="B50" s="5">
        <v>45</v>
      </c>
      <c r="C50" s="6">
        <v>45648</v>
      </c>
      <c r="D50" s="13">
        <f t="shared" si="0"/>
        <v>283.2849954888872</v>
      </c>
      <c r="E50" s="13">
        <f t="shared" si="1"/>
        <v>2.1246374661666541</v>
      </c>
      <c r="F50" s="13">
        <f t="shared" si="2"/>
        <v>8.2200000000000006</v>
      </c>
      <c r="G50" s="13">
        <f t="shared" si="3"/>
        <v>6.095362533833347</v>
      </c>
      <c r="H50" s="13">
        <f t="shared" si="4"/>
        <v>277.18963295505381</v>
      </c>
      <c r="I50" s="7"/>
    </row>
    <row r="51" spans="2:9" x14ac:dyDescent="0.25">
      <c r="B51" s="5">
        <v>46</v>
      </c>
      <c r="C51" s="6">
        <v>45679</v>
      </c>
      <c r="D51" s="13">
        <f t="shared" si="0"/>
        <v>277.18963295505381</v>
      </c>
      <c r="E51" s="13">
        <f t="shared" si="1"/>
        <v>2.0789222471629034</v>
      </c>
      <c r="F51" s="13">
        <f t="shared" si="2"/>
        <v>8.2200000000000006</v>
      </c>
      <c r="G51" s="13">
        <f t="shared" si="3"/>
        <v>6.1410777528370968</v>
      </c>
      <c r="H51" s="13">
        <f t="shared" si="4"/>
        <v>271.04855520221668</v>
      </c>
      <c r="I51" s="7"/>
    </row>
    <row r="52" spans="2:9" x14ac:dyDescent="0.25">
      <c r="B52" s="5">
        <v>47</v>
      </c>
      <c r="C52" s="6">
        <v>45710</v>
      </c>
      <c r="D52" s="13">
        <f t="shared" si="0"/>
        <v>271.04855520221668</v>
      </c>
      <c r="E52" s="13">
        <f t="shared" si="1"/>
        <v>2.0328641640166247</v>
      </c>
      <c r="F52" s="13">
        <f t="shared" si="2"/>
        <v>8.2200000000000006</v>
      </c>
      <c r="G52" s="13">
        <f t="shared" si="3"/>
        <v>6.1871358359833764</v>
      </c>
      <c r="H52" s="13">
        <f t="shared" si="4"/>
        <v>264.86141936623329</v>
      </c>
      <c r="I52" s="7"/>
    </row>
    <row r="53" spans="2:9" ht="15.75" thickBot="1" x14ac:dyDescent="0.3">
      <c r="B53" s="8">
        <v>48</v>
      </c>
      <c r="C53" s="9">
        <v>45738</v>
      </c>
      <c r="D53" s="15">
        <f t="shared" si="0"/>
        <v>264.86141936623329</v>
      </c>
      <c r="E53" s="15">
        <f t="shared" si="1"/>
        <v>1.9864606452467495</v>
      </c>
      <c r="F53" s="15">
        <f t="shared" si="2"/>
        <v>8.2200000000000006</v>
      </c>
      <c r="G53" s="15">
        <f t="shared" si="3"/>
        <v>6.2335393547532512</v>
      </c>
      <c r="H53" s="15">
        <f t="shared" si="4"/>
        <v>258.62788001147999</v>
      </c>
      <c r="I53" s="17">
        <f>SUM(E42:E53)</f>
        <v>26.825421997653699</v>
      </c>
    </row>
    <row r="54" spans="2:9" x14ac:dyDescent="0.25">
      <c r="B54" s="2">
        <v>49</v>
      </c>
      <c r="C54" s="3">
        <v>45769</v>
      </c>
      <c r="D54" s="14">
        <f t="shared" si="0"/>
        <v>258.62788001147999</v>
      </c>
      <c r="E54" s="14">
        <f t="shared" si="1"/>
        <v>1.9397091000861</v>
      </c>
      <c r="F54" s="14">
        <f t="shared" si="2"/>
        <v>8.2200000000000006</v>
      </c>
      <c r="G54" s="14">
        <f t="shared" si="3"/>
        <v>6.2802908999139007</v>
      </c>
      <c r="H54" s="14">
        <f t="shared" si="4"/>
        <v>252.34758911156607</v>
      </c>
      <c r="I54" s="4"/>
    </row>
    <row r="55" spans="2:9" x14ac:dyDescent="0.25">
      <c r="B55" s="5">
        <v>50</v>
      </c>
      <c r="C55" s="6">
        <v>45799</v>
      </c>
      <c r="D55" s="13">
        <f t="shared" si="0"/>
        <v>252.34758911156607</v>
      </c>
      <c r="E55" s="13">
        <f t="shared" si="1"/>
        <v>1.8926069183367453</v>
      </c>
      <c r="F55" s="13">
        <f t="shared" si="2"/>
        <v>8.2200000000000006</v>
      </c>
      <c r="G55" s="13">
        <f t="shared" si="3"/>
        <v>6.3273930816632555</v>
      </c>
      <c r="H55" s="13">
        <f t="shared" si="4"/>
        <v>246.02019602990282</v>
      </c>
      <c r="I55" s="7"/>
    </row>
    <row r="56" spans="2:9" x14ac:dyDescent="0.25">
      <c r="B56" s="5">
        <v>51</v>
      </c>
      <c r="C56" s="6">
        <v>45830</v>
      </c>
      <c r="D56" s="13">
        <f t="shared" si="0"/>
        <v>246.02019602990282</v>
      </c>
      <c r="E56" s="13">
        <f t="shared" si="1"/>
        <v>1.8451514702242713</v>
      </c>
      <c r="F56" s="13">
        <f t="shared" si="2"/>
        <v>8.2200000000000006</v>
      </c>
      <c r="G56" s="13">
        <f t="shared" si="3"/>
        <v>6.3748485297757291</v>
      </c>
      <c r="H56" s="13">
        <f t="shared" si="4"/>
        <v>239.64534750012709</v>
      </c>
      <c r="I56" s="7"/>
    </row>
    <row r="57" spans="2:9" x14ac:dyDescent="0.25">
      <c r="B57" s="5">
        <v>52</v>
      </c>
      <c r="C57" s="6">
        <v>45860</v>
      </c>
      <c r="D57" s="13">
        <f t="shared" si="0"/>
        <v>239.64534750012709</v>
      </c>
      <c r="E57" s="13">
        <f t="shared" si="1"/>
        <v>1.7973401062509531</v>
      </c>
      <c r="F57" s="13">
        <f t="shared" si="2"/>
        <v>8.2200000000000006</v>
      </c>
      <c r="G57" s="13">
        <f t="shared" si="3"/>
        <v>6.4226598937490476</v>
      </c>
      <c r="H57" s="13">
        <f t="shared" si="4"/>
        <v>233.22268760637803</v>
      </c>
      <c r="I57" s="7"/>
    </row>
    <row r="58" spans="2:9" x14ac:dyDescent="0.25">
      <c r="B58" s="5">
        <v>53</v>
      </c>
      <c r="C58" s="6">
        <v>45891</v>
      </c>
      <c r="D58" s="13">
        <f t="shared" si="0"/>
        <v>233.22268760637803</v>
      </c>
      <c r="E58" s="13">
        <f t="shared" si="1"/>
        <v>1.7491701570478353</v>
      </c>
      <c r="F58" s="13">
        <f t="shared" si="2"/>
        <v>8.2200000000000006</v>
      </c>
      <c r="G58" s="13">
        <f t="shared" si="3"/>
        <v>6.4708298429521651</v>
      </c>
      <c r="H58" s="13">
        <f t="shared" si="4"/>
        <v>226.75185776342587</v>
      </c>
      <c r="I58" s="7"/>
    </row>
    <row r="59" spans="2:9" x14ac:dyDescent="0.25">
      <c r="B59" s="5">
        <v>54</v>
      </c>
      <c r="C59" s="6">
        <v>45922</v>
      </c>
      <c r="D59" s="13">
        <f t="shared" si="0"/>
        <v>226.75185776342587</v>
      </c>
      <c r="E59" s="13">
        <f t="shared" si="1"/>
        <v>1.7006389332256939</v>
      </c>
      <c r="F59" s="13">
        <f t="shared" si="2"/>
        <v>8.2200000000000006</v>
      </c>
      <c r="G59" s="13">
        <f t="shared" si="3"/>
        <v>6.5193610667743069</v>
      </c>
      <c r="H59" s="13">
        <f t="shared" si="4"/>
        <v>220.23249669665157</v>
      </c>
      <c r="I59" s="7"/>
    </row>
    <row r="60" spans="2:9" x14ac:dyDescent="0.25">
      <c r="B60" s="5">
        <v>55</v>
      </c>
      <c r="C60" s="6">
        <v>45952</v>
      </c>
      <c r="D60" s="13">
        <f t="shared" si="0"/>
        <v>220.23249669665157</v>
      </c>
      <c r="E60" s="13">
        <f t="shared" si="1"/>
        <v>1.6517437252248868</v>
      </c>
      <c r="F60" s="13">
        <f t="shared" si="2"/>
        <v>8.2200000000000006</v>
      </c>
      <c r="G60" s="13">
        <f t="shared" si="3"/>
        <v>6.5682562747751136</v>
      </c>
      <c r="H60" s="13">
        <f t="shared" si="4"/>
        <v>213.66424042187646</v>
      </c>
      <c r="I60" s="7"/>
    </row>
    <row r="61" spans="2:9" x14ac:dyDescent="0.25">
      <c r="B61" s="5">
        <v>56</v>
      </c>
      <c r="C61" s="6">
        <v>45983</v>
      </c>
      <c r="D61" s="13">
        <f t="shared" si="0"/>
        <v>213.66424042187646</v>
      </c>
      <c r="E61" s="13">
        <f t="shared" si="1"/>
        <v>1.6024818031640733</v>
      </c>
      <c r="F61" s="13">
        <f t="shared" si="2"/>
        <v>8.2200000000000006</v>
      </c>
      <c r="G61" s="13">
        <f t="shared" si="3"/>
        <v>6.6175181968359276</v>
      </c>
      <c r="H61" s="13">
        <f t="shared" si="4"/>
        <v>207.04672222504053</v>
      </c>
      <c r="I61" s="7"/>
    </row>
    <row r="62" spans="2:9" x14ac:dyDescent="0.25">
      <c r="B62" s="5">
        <v>57</v>
      </c>
      <c r="C62" s="6">
        <v>46013</v>
      </c>
      <c r="D62" s="13">
        <f t="shared" si="0"/>
        <v>207.04672222504053</v>
      </c>
      <c r="E62" s="13">
        <f t="shared" si="1"/>
        <v>1.5528504166878039</v>
      </c>
      <c r="F62" s="13">
        <f t="shared" si="2"/>
        <v>8.2200000000000006</v>
      </c>
      <c r="G62" s="13">
        <f t="shared" si="3"/>
        <v>6.667149583312197</v>
      </c>
      <c r="H62" s="13">
        <f t="shared" si="4"/>
        <v>200.37957264172834</v>
      </c>
      <c r="I62" s="7"/>
    </row>
    <row r="63" spans="2:9" x14ac:dyDescent="0.25">
      <c r="B63" s="5">
        <v>58</v>
      </c>
      <c r="C63" s="6">
        <v>46044</v>
      </c>
      <c r="D63" s="13">
        <f t="shared" si="0"/>
        <v>200.37957264172834</v>
      </c>
      <c r="E63" s="13">
        <f t="shared" si="1"/>
        <v>1.5028467948129627</v>
      </c>
      <c r="F63" s="13">
        <f t="shared" si="2"/>
        <v>8.2200000000000006</v>
      </c>
      <c r="G63" s="13">
        <f t="shared" si="3"/>
        <v>6.7171532051870377</v>
      </c>
      <c r="H63" s="13">
        <f t="shared" si="4"/>
        <v>193.66241943654131</v>
      </c>
      <c r="I63" s="7"/>
    </row>
    <row r="64" spans="2:9" x14ac:dyDescent="0.25">
      <c r="B64" s="5">
        <v>59</v>
      </c>
      <c r="C64" s="6">
        <v>46075</v>
      </c>
      <c r="D64" s="13">
        <f t="shared" si="0"/>
        <v>193.66241943654131</v>
      </c>
      <c r="E64" s="13">
        <f t="shared" si="1"/>
        <v>1.4524681457740598</v>
      </c>
      <c r="F64" s="13">
        <f t="shared" si="2"/>
        <v>8.2200000000000006</v>
      </c>
      <c r="G64" s="13">
        <f t="shared" si="3"/>
        <v>6.7675318542259406</v>
      </c>
      <c r="H64" s="13">
        <f t="shared" si="4"/>
        <v>186.89488758231536</v>
      </c>
      <c r="I64" s="7"/>
    </row>
    <row r="65" spans="2:9" ht="15.75" thickBot="1" x14ac:dyDescent="0.3">
      <c r="B65" s="8">
        <v>60</v>
      </c>
      <c r="C65" s="9">
        <v>46103</v>
      </c>
      <c r="D65" s="15">
        <f t="shared" si="0"/>
        <v>186.89488758231536</v>
      </c>
      <c r="E65" s="15">
        <f t="shared" si="1"/>
        <v>1.4017116568673653</v>
      </c>
      <c r="F65" s="15">
        <f t="shared" si="2"/>
        <v>8.2200000000000006</v>
      </c>
      <c r="G65" s="15">
        <f t="shared" si="3"/>
        <v>6.8182883431326351</v>
      </c>
      <c r="H65" s="15">
        <f t="shared" si="4"/>
        <v>180.07659923918274</v>
      </c>
      <c r="I65" s="17">
        <f>SUM(E54:E65)</f>
        <v>20.08871922770275</v>
      </c>
    </row>
    <row r="66" spans="2:9" x14ac:dyDescent="0.25">
      <c r="B66" s="2">
        <v>61</v>
      </c>
      <c r="C66" s="3">
        <v>46134</v>
      </c>
      <c r="D66" s="14">
        <f t="shared" si="0"/>
        <v>180.07659923918274</v>
      </c>
      <c r="E66" s="14">
        <f t="shared" si="1"/>
        <v>1.3505744942938704</v>
      </c>
      <c r="F66" s="14">
        <f t="shared" si="2"/>
        <v>8.2200000000000006</v>
      </c>
      <c r="G66" s="14">
        <f t="shared" si="3"/>
        <v>6.86942550570613</v>
      </c>
      <c r="H66" s="14">
        <f t="shared" si="4"/>
        <v>173.20717373347662</v>
      </c>
      <c r="I66" s="4"/>
    </row>
    <row r="67" spans="2:9" x14ac:dyDescent="0.25">
      <c r="B67" s="5">
        <v>62</v>
      </c>
      <c r="C67" s="6">
        <v>46164</v>
      </c>
      <c r="D67" s="13">
        <f t="shared" si="0"/>
        <v>173.20717373347662</v>
      </c>
      <c r="E67" s="13">
        <f t="shared" si="1"/>
        <v>1.2990538030010745</v>
      </c>
      <c r="F67" s="13">
        <f t="shared" si="2"/>
        <v>8.2200000000000006</v>
      </c>
      <c r="G67" s="13">
        <f t="shared" si="3"/>
        <v>6.9209461969989263</v>
      </c>
      <c r="H67" s="13">
        <f t="shared" si="4"/>
        <v>166.2862275364777</v>
      </c>
      <c r="I67" s="7"/>
    </row>
    <row r="68" spans="2:9" x14ac:dyDescent="0.25">
      <c r="B68" s="5">
        <v>63</v>
      </c>
      <c r="C68" s="6">
        <v>46195</v>
      </c>
      <c r="D68" s="13">
        <f t="shared" si="0"/>
        <v>166.2862275364777</v>
      </c>
      <c r="E68" s="13">
        <f t="shared" si="1"/>
        <v>1.2471467065235826</v>
      </c>
      <c r="F68" s="13">
        <f t="shared" si="2"/>
        <v>8.2200000000000006</v>
      </c>
      <c r="G68" s="13">
        <f t="shared" si="3"/>
        <v>6.972853293476418</v>
      </c>
      <c r="H68" s="13">
        <f t="shared" si="4"/>
        <v>159.31337424300128</v>
      </c>
      <c r="I68" s="7"/>
    </row>
    <row r="69" spans="2:9" x14ac:dyDescent="0.25">
      <c r="B69" s="5">
        <v>64</v>
      </c>
      <c r="C69" s="6">
        <v>46225</v>
      </c>
      <c r="D69" s="13">
        <f t="shared" si="0"/>
        <v>159.31337424300128</v>
      </c>
      <c r="E69" s="13">
        <f t="shared" si="1"/>
        <v>1.1948503068225096</v>
      </c>
      <c r="F69" s="13">
        <f t="shared" si="2"/>
        <v>8.2200000000000006</v>
      </c>
      <c r="G69" s="13">
        <f t="shared" si="3"/>
        <v>7.0251496931774913</v>
      </c>
      <c r="H69" s="13">
        <f t="shared" si="4"/>
        <v>152.28822454982378</v>
      </c>
      <c r="I69" s="7"/>
    </row>
    <row r="70" spans="2:9" x14ac:dyDescent="0.25">
      <c r="B70" s="5">
        <v>65</v>
      </c>
      <c r="C70" s="6">
        <v>46256</v>
      </c>
      <c r="D70" s="13">
        <f t="shared" si="0"/>
        <v>152.28822454982378</v>
      </c>
      <c r="E70" s="13">
        <f t="shared" si="1"/>
        <v>1.1421616841236784</v>
      </c>
      <c r="F70" s="13">
        <f t="shared" si="2"/>
        <v>8.2200000000000006</v>
      </c>
      <c r="G70" s="13">
        <f t="shared" si="3"/>
        <v>7.0778383158763223</v>
      </c>
      <c r="H70" s="13">
        <f t="shared" si="4"/>
        <v>145.21038623394745</v>
      </c>
      <c r="I70" s="7"/>
    </row>
    <row r="71" spans="2:9" x14ac:dyDescent="0.25">
      <c r="B71" s="5">
        <v>66</v>
      </c>
      <c r="C71" s="6">
        <v>46287</v>
      </c>
      <c r="D71" s="13">
        <f t="shared" si="0"/>
        <v>145.21038623394745</v>
      </c>
      <c r="E71" s="13">
        <f t="shared" si="1"/>
        <v>1.0890778967546058</v>
      </c>
      <c r="F71" s="13">
        <f t="shared" si="2"/>
        <v>8.2200000000000006</v>
      </c>
      <c r="G71" s="13">
        <f t="shared" si="3"/>
        <v>7.1309221032453944</v>
      </c>
      <c r="H71" s="13">
        <f t="shared" si="4"/>
        <v>138.07946413070206</v>
      </c>
      <c r="I71" s="7"/>
    </row>
    <row r="72" spans="2:9" x14ac:dyDescent="0.25">
      <c r="B72" s="5">
        <v>67</v>
      </c>
      <c r="C72" s="6">
        <v>46317</v>
      </c>
      <c r="D72" s="13">
        <f t="shared" si="0"/>
        <v>138.07946413070206</v>
      </c>
      <c r="E72" s="13">
        <f t="shared" si="1"/>
        <v>1.0355959809802655</v>
      </c>
      <c r="F72" s="13">
        <f t="shared" si="2"/>
        <v>8.2200000000000006</v>
      </c>
      <c r="G72" s="13">
        <f t="shared" si="3"/>
        <v>7.1844040190197349</v>
      </c>
      <c r="H72" s="13">
        <f t="shared" si="4"/>
        <v>130.89506011168234</v>
      </c>
      <c r="I72" s="7"/>
    </row>
    <row r="73" spans="2:9" x14ac:dyDescent="0.25">
      <c r="B73" s="5">
        <v>68</v>
      </c>
      <c r="C73" s="6">
        <v>46348</v>
      </c>
      <c r="D73" s="13">
        <f t="shared" ref="D73:D89" si="5">H72</f>
        <v>130.89506011168234</v>
      </c>
      <c r="E73" s="13">
        <f t="shared" ref="E73:E89" si="6">D73*$F$3/12</f>
        <v>0.98171295083761745</v>
      </c>
      <c r="F73" s="13">
        <f t="shared" ref="F73:F88" si="7">F72</f>
        <v>8.2200000000000006</v>
      </c>
      <c r="G73" s="13">
        <f t="shared" ref="G73:G89" si="8">F73-E73</f>
        <v>7.2382870491623832</v>
      </c>
      <c r="H73" s="13">
        <f t="shared" ref="H73:H89" si="9">D73+E73-F73</f>
        <v>123.65677306251996</v>
      </c>
      <c r="I73" s="7"/>
    </row>
    <row r="74" spans="2:9" x14ac:dyDescent="0.25">
      <c r="B74" s="5">
        <v>69</v>
      </c>
      <c r="C74" s="6">
        <v>46378</v>
      </c>
      <c r="D74" s="13">
        <f t="shared" si="5"/>
        <v>123.65677306251996</v>
      </c>
      <c r="E74" s="13">
        <f t="shared" si="6"/>
        <v>0.92742579796889968</v>
      </c>
      <c r="F74" s="13">
        <f t="shared" si="7"/>
        <v>8.2200000000000006</v>
      </c>
      <c r="G74" s="13">
        <f t="shared" si="8"/>
        <v>7.2925742020311013</v>
      </c>
      <c r="H74" s="13">
        <f t="shared" si="9"/>
        <v>116.36419886048886</v>
      </c>
      <c r="I74" s="7"/>
    </row>
    <row r="75" spans="2:9" x14ac:dyDescent="0.25">
      <c r="B75" s="5">
        <v>70</v>
      </c>
      <c r="C75" s="6">
        <v>46409</v>
      </c>
      <c r="D75" s="13">
        <f t="shared" si="5"/>
        <v>116.36419886048886</v>
      </c>
      <c r="E75" s="13">
        <f t="shared" si="6"/>
        <v>0.87273149145366646</v>
      </c>
      <c r="F75" s="13">
        <f t="shared" si="7"/>
        <v>8.2200000000000006</v>
      </c>
      <c r="G75" s="13">
        <f t="shared" si="8"/>
        <v>7.3472685085463345</v>
      </c>
      <c r="H75" s="13">
        <f t="shared" si="9"/>
        <v>109.01693035194252</v>
      </c>
      <c r="I75" s="7"/>
    </row>
    <row r="76" spans="2:9" x14ac:dyDescent="0.25">
      <c r="B76" s="5">
        <v>71</v>
      </c>
      <c r="C76" s="6">
        <v>46440</v>
      </c>
      <c r="D76" s="13">
        <f t="shared" si="5"/>
        <v>109.01693035194252</v>
      </c>
      <c r="E76" s="13">
        <f t="shared" si="6"/>
        <v>0.81762697763956893</v>
      </c>
      <c r="F76" s="13">
        <f t="shared" si="7"/>
        <v>8.2200000000000006</v>
      </c>
      <c r="G76" s="13">
        <f t="shared" si="8"/>
        <v>7.4023730223604316</v>
      </c>
      <c r="H76" s="13">
        <f t="shared" si="9"/>
        <v>101.61455732958208</v>
      </c>
      <c r="I76" s="7"/>
    </row>
    <row r="77" spans="2:9" ht="15.75" thickBot="1" x14ac:dyDescent="0.3">
      <c r="B77" s="8">
        <v>72</v>
      </c>
      <c r="C77" s="9">
        <v>46468</v>
      </c>
      <c r="D77" s="15">
        <f t="shared" si="5"/>
        <v>101.61455732958208</v>
      </c>
      <c r="E77" s="15">
        <f t="shared" si="6"/>
        <v>0.76210917997186556</v>
      </c>
      <c r="F77" s="15">
        <f t="shared" si="7"/>
        <v>8.2200000000000006</v>
      </c>
      <c r="G77" s="15">
        <f t="shared" si="8"/>
        <v>7.4578908200281351</v>
      </c>
      <c r="H77" s="15">
        <f t="shared" si="9"/>
        <v>94.156666509553958</v>
      </c>
      <c r="I77" s="17">
        <f>SUM(E66:E77)</f>
        <v>12.720067270371203</v>
      </c>
    </row>
    <row r="78" spans="2:9" x14ac:dyDescent="0.25">
      <c r="B78" s="2">
        <v>73</v>
      </c>
      <c r="C78" s="3">
        <v>46499</v>
      </c>
      <c r="D78" s="14">
        <f t="shared" si="5"/>
        <v>94.156666509553958</v>
      </c>
      <c r="E78" s="14">
        <f t="shared" si="6"/>
        <v>0.70617499882165469</v>
      </c>
      <c r="F78" s="14">
        <f t="shared" si="7"/>
        <v>8.2200000000000006</v>
      </c>
      <c r="G78" s="14">
        <f t="shared" si="8"/>
        <v>7.5138250011783461</v>
      </c>
      <c r="H78" s="14">
        <f t="shared" si="9"/>
        <v>86.642841508375611</v>
      </c>
      <c r="I78" s="4"/>
    </row>
    <row r="79" spans="2:9" x14ac:dyDescent="0.25">
      <c r="B79" s="5">
        <v>74</v>
      </c>
      <c r="C79" s="6">
        <v>46529</v>
      </c>
      <c r="D79" s="13">
        <f t="shared" si="5"/>
        <v>86.642841508375611</v>
      </c>
      <c r="E79" s="13">
        <f t="shared" si="6"/>
        <v>0.64982131131281706</v>
      </c>
      <c r="F79" s="13">
        <f t="shared" si="7"/>
        <v>8.2200000000000006</v>
      </c>
      <c r="G79" s="13">
        <f t="shared" si="8"/>
        <v>7.570178688687184</v>
      </c>
      <c r="H79" s="13">
        <f t="shared" si="9"/>
        <v>79.072662819688432</v>
      </c>
      <c r="I79" s="7"/>
    </row>
    <row r="80" spans="2:9" x14ac:dyDescent="0.25">
      <c r="B80" s="5">
        <v>75</v>
      </c>
      <c r="C80" s="6">
        <v>46560</v>
      </c>
      <c r="D80" s="13">
        <f t="shared" si="5"/>
        <v>79.072662819688432</v>
      </c>
      <c r="E80" s="13">
        <f t="shared" si="6"/>
        <v>0.59304497114766319</v>
      </c>
      <c r="F80" s="13">
        <f t="shared" si="7"/>
        <v>8.2200000000000006</v>
      </c>
      <c r="G80" s="13">
        <f t="shared" si="8"/>
        <v>7.6269550288523371</v>
      </c>
      <c r="H80" s="13">
        <f t="shared" si="9"/>
        <v>71.445707790836096</v>
      </c>
      <c r="I80" s="7"/>
    </row>
    <row r="81" spans="2:9" x14ac:dyDescent="0.25">
      <c r="B81" s="5">
        <v>76</v>
      </c>
      <c r="C81" s="6">
        <v>46590</v>
      </c>
      <c r="D81" s="13">
        <f t="shared" si="5"/>
        <v>71.445707790836096</v>
      </c>
      <c r="E81" s="13">
        <f t="shared" si="6"/>
        <v>0.53584280843127063</v>
      </c>
      <c r="F81" s="13">
        <f t="shared" si="7"/>
        <v>8.2200000000000006</v>
      </c>
      <c r="G81" s="13">
        <f t="shared" si="8"/>
        <v>7.6841571915687297</v>
      </c>
      <c r="H81" s="13">
        <f t="shared" si="9"/>
        <v>63.761550599267366</v>
      </c>
      <c r="I81" s="7"/>
    </row>
    <row r="82" spans="2:9" x14ac:dyDescent="0.25">
      <c r="B82" s="5">
        <v>77</v>
      </c>
      <c r="C82" s="6">
        <v>46621</v>
      </c>
      <c r="D82" s="13">
        <f t="shared" si="5"/>
        <v>63.761550599267366</v>
      </c>
      <c r="E82" s="13">
        <f t="shared" si="6"/>
        <v>0.47821162949450519</v>
      </c>
      <c r="F82" s="13">
        <f t="shared" si="7"/>
        <v>8.2200000000000006</v>
      </c>
      <c r="G82" s="13">
        <f t="shared" si="8"/>
        <v>7.7417883705054953</v>
      </c>
      <c r="H82" s="13">
        <f t="shared" si="9"/>
        <v>56.019762228761877</v>
      </c>
      <c r="I82" s="7"/>
    </row>
    <row r="83" spans="2:9" x14ac:dyDescent="0.25">
      <c r="B83" s="5">
        <v>78</v>
      </c>
      <c r="C83" s="6">
        <v>46652</v>
      </c>
      <c r="D83" s="13">
        <f t="shared" si="5"/>
        <v>56.019762228761877</v>
      </c>
      <c r="E83" s="13">
        <f t="shared" si="6"/>
        <v>0.42014821671571406</v>
      </c>
      <c r="F83" s="13">
        <f t="shared" si="7"/>
        <v>8.2200000000000006</v>
      </c>
      <c r="G83" s="13">
        <f t="shared" si="8"/>
        <v>7.7998517832842866</v>
      </c>
      <c r="H83" s="13">
        <f t="shared" si="9"/>
        <v>48.219910445477595</v>
      </c>
      <c r="I83" s="7"/>
    </row>
    <row r="84" spans="2:9" x14ac:dyDescent="0.25">
      <c r="B84" s="5">
        <v>79</v>
      </c>
      <c r="C84" s="6">
        <v>46682</v>
      </c>
      <c r="D84" s="13">
        <f t="shared" si="5"/>
        <v>48.219910445477595</v>
      </c>
      <c r="E84" s="13">
        <f t="shared" si="6"/>
        <v>0.36164932834108193</v>
      </c>
      <c r="F84" s="13">
        <f t="shared" si="7"/>
        <v>8.2200000000000006</v>
      </c>
      <c r="G84" s="13">
        <f t="shared" si="8"/>
        <v>7.8583506716589184</v>
      </c>
      <c r="H84" s="13">
        <f t="shared" si="9"/>
        <v>40.361559773818676</v>
      </c>
      <c r="I84" s="7"/>
    </row>
    <row r="85" spans="2:9" x14ac:dyDescent="0.25">
      <c r="B85" s="5">
        <v>80</v>
      </c>
      <c r="C85" s="6">
        <v>46713</v>
      </c>
      <c r="D85" s="13">
        <f t="shared" si="5"/>
        <v>40.361559773818676</v>
      </c>
      <c r="E85" s="13">
        <f t="shared" si="6"/>
        <v>0.30271169830364003</v>
      </c>
      <c r="F85" s="13">
        <f t="shared" si="7"/>
        <v>8.2200000000000006</v>
      </c>
      <c r="G85" s="13">
        <f t="shared" si="8"/>
        <v>7.9172883016963604</v>
      </c>
      <c r="H85" s="13">
        <f t="shared" si="9"/>
        <v>32.444271472122317</v>
      </c>
      <c r="I85" s="7"/>
    </row>
    <row r="86" spans="2:9" x14ac:dyDescent="0.25">
      <c r="B86" s="5">
        <v>81</v>
      </c>
      <c r="C86" s="6">
        <v>46743</v>
      </c>
      <c r="D86" s="13">
        <f t="shared" si="5"/>
        <v>32.444271472122317</v>
      </c>
      <c r="E86" s="13">
        <f t="shared" si="6"/>
        <v>0.24333203604091735</v>
      </c>
      <c r="F86" s="13">
        <f t="shared" si="7"/>
        <v>8.2200000000000006</v>
      </c>
      <c r="G86" s="13">
        <f t="shared" si="8"/>
        <v>7.9766679639590832</v>
      </c>
      <c r="H86" s="13">
        <f t="shared" si="9"/>
        <v>24.467603508163236</v>
      </c>
      <c r="I86" s="7"/>
    </row>
    <row r="87" spans="2:9" x14ac:dyDescent="0.25">
      <c r="B87" s="5">
        <v>82</v>
      </c>
      <c r="C87" s="6">
        <v>46774</v>
      </c>
      <c r="D87" s="13">
        <f t="shared" si="5"/>
        <v>24.467603508163236</v>
      </c>
      <c r="E87" s="13">
        <f t="shared" si="6"/>
        <v>0.18350702631122426</v>
      </c>
      <c r="F87" s="13">
        <f t="shared" si="7"/>
        <v>8.2200000000000006</v>
      </c>
      <c r="G87" s="13">
        <f t="shared" si="8"/>
        <v>8.0364929736887767</v>
      </c>
      <c r="H87" s="13">
        <f t="shared" si="9"/>
        <v>16.431110534474463</v>
      </c>
      <c r="I87" s="7"/>
    </row>
    <row r="88" spans="2:9" x14ac:dyDescent="0.25">
      <c r="B88" s="5">
        <v>83</v>
      </c>
      <c r="C88" s="6">
        <v>46805</v>
      </c>
      <c r="D88" s="13">
        <f t="shared" si="5"/>
        <v>16.431110534474463</v>
      </c>
      <c r="E88" s="13">
        <f t="shared" si="6"/>
        <v>0.12323332900855848</v>
      </c>
      <c r="F88" s="13">
        <f t="shared" si="7"/>
        <v>8.2200000000000006</v>
      </c>
      <c r="G88" s="13">
        <f t="shared" si="8"/>
        <v>8.0967666709914425</v>
      </c>
      <c r="H88" s="13">
        <f t="shared" si="9"/>
        <v>8.3343438634830225</v>
      </c>
      <c r="I88" s="7"/>
    </row>
    <row r="89" spans="2:9" ht="15.75" thickBot="1" x14ac:dyDescent="0.3">
      <c r="B89" s="8">
        <v>84</v>
      </c>
      <c r="C89" s="9">
        <v>46834</v>
      </c>
      <c r="D89" s="15">
        <f t="shared" si="5"/>
        <v>8.3343438634830225</v>
      </c>
      <c r="E89" s="15">
        <f t="shared" si="6"/>
        <v>6.2507578976122663E-2</v>
      </c>
      <c r="F89" s="15">
        <f>F88+0.18</f>
        <v>8.4</v>
      </c>
      <c r="G89" s="15">
        <f t="shared" si="8"/>
        <v>8.3374924210238781</v>
      </c>
      <c r="H89" s="15">
        <f t="shared" si="9"/>
        <v>-3.1485575408556343E-3</v>
      </c>
      <c r="I89" s="17">
        <f>SUM(E78:E89)</f>
        <v>4.6601849329051683</v>
      </c>
    </row>
    <row r="90" spans="2:9" x14ac:dyDescent="0.25">
      <c r="E90" s="16">
        <f>SUM(E6:E89)</f>
        <v>179.65685144246061</v>
      </c>
      <c r="F90" s="16">
        <f>SUM(F6:F89)</f>
        <v>690.66000000000133</v>
      </c>
      <c r="G90" s="16">
        <f>SUM(G6:G89)</f>
        <v>511.00314855753965</v>
      </c>
      <c r="I90" s="16">
        <f>SUM(I6:I89)</f>
        <v>179.65685144246049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H72"/>
  <sheetViews>
    <sheetView showGridLines="0" workbookViewId="0">
      <selection activeCell="C9" sqref="C9"/>
    </sheetView>
  </sheetViews>
  <sheetFormatPr defaultRowHeight="15" x14ac:dyDescent="0.25"/>
  <cols>
    <col min="2" max="2" width="26.28515625" customWidth="1"/>
    <col min="3" max="3" width="16" bestFit="1" customWidth="1"/>
    <col min="4" max="4" width="9.5703125" bestFit="1" customWidth="1"/>
    <col min="5" max="5" width="13.7109375" customWidth="1"/>
    <col min="6" max="6" width="18.140625" bestFit="1" customWidth="1"/>
    <col min="7" max="7" width="12.42578125" customWidth="1"/>
  </cols>
  <sheetData>
    <row r="1" spans="2:8" ht="17.25" x14ac:dyDescent="0.3">
      <c r="B1" s="277" t="s">
        <v>206</v>
      </c>
      <c r="C1" s="277"/>
      <c r="D1" s="277"/>
      <c r="E1" s="277"/>
      <c r="F1" s="277"/>
      <c r="G1" s="277"/>
    </row>
    <row r="2" spans="2:8" ht="15.75" thickBot="1" x14ac:dyDescent="0.3"/>
    <row r="3" spans="2:8" x14ac:dyDescent="0.25">
      <c r="B3" s="182"/>
      <c r="C3" s="183"/>
      <c r="D3" s="183" t="s">
        <v>213</v>
      </c>
      <c r="E3" s="184"/>
      <c r="F3" s="184"/>
      <c r="G3" s="185"/>
    </row>
    <row r="4" spans="2:8" x14ac:dyDescent="0.25">
      <c r="B4" s="22" t="s">
        <v>3</v>
      </c>
      <c r="C4" s="18" t="s">
        <v>30</v>
      </c>
      <c r="D4" s="18" t="s">
        <v>192</v>
      </c>
      <c r="E4" s="18" t="s">
        <v>0</v>
      </c>
      <c r="F4" s="18" t="s">
        <v>198</v>
      </c>
      <c r="G4" s="23" t="s">
        <v>199</v>
      </c>
      <c r="H4" s="27"/>
    </row>
    <row r="5" spans="2:8" x14ac:dyDescent="0.25">
      <c r="B5" s="24" t="s">
        <v>221</v>
      </c>
      <c r="C5" s="19">
        <f>'COP MF'!D7+'COP MF'!D8</f>
        <v>104</v>
      </c>
      <c r="D5" s="19">
        <v>0</v>
      </c>
      <c r="E5" s="19">
        <f>C5+D5</f>
        <v>104</v>
      </c>
      <c r="F5" s="19">
        <v>0</v>
      </c>
      <c r="G5" s="25">
        <f>E5-F5</f>
        <v>104</v>
      </c>
    </row>
    <row r="6" spans="2:8" x14ac:dyDescent="0.25">
      <c r="B6" s="24" t="s">
        <v>193</v>
      </c>
      <c r="C6" s="19">
        <f>'COP MF'!D10</f>
        <v>250</v>
      </c>
      <c r="D6" s="19">
        <v>0</v>
      </c>
      <c r="E6" s="19">
        <f>C6+D6</f>
        <v>250</v>
      </c>
      <c r="F6" s="19">
        <v>0</v>
      </c>
      <c r="G6" s="25">
        <f>E6-F6</f>
        <v>250</v>
      </c>
    </row>
    <row r="7" spans="2:8" x14ac:dyDescent="0.25">
      <c r="B7" s="24" t="s">
        <v>195</v>
      </c>
      <c r="C7" s="19">
        <f>'COP MF'!D9+'TERM LOAN REPAYMENT'!I10+'TERM LOAN REPAYMENT'!I11+'TERM LOAN REPAYMENT'!I12</f>
        <v>300</v>
      </c>
      <c r="D7" s="19">
        <v>0</v>
      </c>
      <c r="E7" s="19">
        <f>C7+D7</f>
        <v>300</v>
      </c>
      <c r="F7" s="19">
        <v>0</v>
      </c>
      <c r="G7" s="25">
        <f>E7-F7</f>
        <v>300</v>
      </c>
    </row>
    <row r="8" spans="2:8" x14ac:dyDescent="0.25">
      <c r="B8" s="24" t="s">
        <v>194</v>
      </c>
      <c r="C8" s="19">
        <f>'COP MF'!D13</f>
        <v>45</v>
      </c>
      <c r="D8" s="19">
        <v>0</v>
      </c>
      <c r="E8" s="19">
        <f>C8+D8</f>
        <v>45</v>
      </c>
      <c r="F8" s="19">
        <v>0</v>
      </c>
      <c r="G8" s="25">
        <f>E8-F8</f>
        <v>45</v>
      </c>
    </row>
    <row r="9" spans="2:8" x14ac:dyDescent="0.25">
      <c r="B9" s="24" t="s">
        <v>196</v>
      </c>
      <c r="C9" s="19">
        <f>'COP MF'!D11+'COP MF'!D12</f>
        <v>126</v>
      </c>
      <c r="D9" s="19">
        <v>0</v>
      </c>
      <c r="E9" s="19">
        <f>C9+D9</f>
        <v>126</v>
      </c>
      <c r="F9" s="19">
        <v>0</v>
      </c>
      <c r="G9" s="25">
        <f>E9-F9</f>
        <v>126</v>
      </c>
    </row>
    <row r="10" spans="2:8" ht="15.75" thickBot="1" x14ac:dyDescent="0.3">
      <c r="B10" s="186"/>
      <c r="C10" s="187">
        <f>SUM(C5:C9)</f>
        <v>825</v>
      </c>
      <c r="D10" s="187">
        <f>SUM(D5:D9)</f>
        <v>0</v>
      </c>
      <c r="E10" s="187">
        <f>SUM(E5:E9)</f>
        <v>825</v>
      </c>
      <c r="F10" s="187">
        <f>SUM(F5:F9)</f>
        <v>0</v>
      </c>
      <c r="G10" s="188">
        <f>SUM(G5:G9)</f>
        <v>825</v>
      </c>
    </row>
    <row r="11" spans="2:8" x14ac:dyDescent="0.25">
      <c r="B11" s="2"/>
      <c r="C11" s="20"/>
      <c r="D11" s="26" t="s">
        <v>197</v>
      </c>
      <c r="E11" s="21"/>
      <c r="F11" s="21"/>
      <c r="G11" s="4"/>
    </row>
    <row r="12" spans="2:8" x14ac:dyDescent="0.25">
      <c r="B12" s="189" t="s">
        <v>3</v>
      </c>
      <c r="C12" s="190" t="s">
        <v>30</v>
      </c>
      <c r="D12" s="190" t="s">
        <v>192</v>
      </c>
      <c r="E12" s="190" t="s">
        <v>0</v>
      </c>
      <c r="F12" s="190" t="s">
        <v>198</v>
      </c>
      <c r="G12" s="191" t="s">
        <v>199</v>
      </c>
    </row>
    <row r="13" spans="2:8" x14ac:dyDescent="0.25">
      <c r="B13" s="24" t="s">
        <v>191</v>
      </c>
      <c r="C13" s="19">
        <f>G5</f>
        <v>104</v>
      </c>
      <c r="D13" s="19">
        <v>0</v>
      </c>
      <c r="E13" s="19">
        <f>C13+D13</f>
        <v>104</v>
      </c>
      <c r="F13" s="19">
        <v>0</v>
      </c>
      <c r="G13" s="25">
        <f>E13-F13</f>
        <v>104</v>
      </c>
    </row>
    <row r="14" spans="2:8" x14ac:dyDescent="0.25">
      <c r="B14" s="24" t="s">
        <v>193</v>
      </c>
      <c r="C14" s="19">
        <f>G6</f>
        <v>250</v>
      </c>
      <c r="D14" s="19">
        <v>0</v>
      </c>
      <c r="E14" s="19">
        <f>C14+D14</f>
        <v>250</v>
      </c>
      <c r="F14" s="19">
        <f>E14*0.15</f>
        <v>37.5</v>
      </c>
      <c r="G14" s="25">
        <f>E14-F14</f>
        <v>212.5</v>
      </c>
    </row>
    <row r="15" spans="2:8" x14ac:dyDescent="0.25">
      <c r="B15" s="24" t="s">
        <v>195</v>
      </c>
      <c r="C15" s="19">
        <f>G7</f>
        <v>300</v>
      </c>
      <c r="D15" s="19">
        <v>0</v>
      </c>
      <c r="E15" s="19">
        <f>C15+D15</f>
        <v>300</v>
      </c>
      <c r="F15" s="19">
        <f>E15*0.15</f>
        <v>45</v>
      </c>
      <c r="G15" s="25">
        <f>E15-F15</f>
        <v>255</v>
      </c>
    </row>
    <row r="16" spans="2:8" x14ac:dyDescent="0.25">
      <c r="B16" s="24" t="s">
        <v>194</v>
      </c>
      <c r="C16" s="19">
        <f>G8</f>
        <v>45</v>
      </c>
      <c r="D16" s="19">
        <v>0</v>
      </c>
      <c r="E16" s="19">
        <f>C16+D16</f>
        <v>45</v>
      </c>
      <c r="F16" s="19">
        <f>E16*0.15</f>
        <v>6.75</v>
      </c>
      <c r="G16" s="25">
        <f>E16-F16</f>
        <v>38.25</v>
      </c>
    </row>
    <row r="17" spans="2:7" x14ac:dyDescent="0.25">
      <c r="B17" s="24" t="s">
        <v>196</v>
      </c>
      <c r="C17" s="19">
        <f>G9</f>
        <v>126</v>
      </c>
      <c r="D17" s="19">
        <v>0</v>
      </c>
      <c r="E17" s="19">
        <f>C17+D17</f>
        <v>126</v>
      </c>
      <c r="F17" s="19">
        <f>E17*0.15</f>
        <v>18.899999999999999</v>
      </c>
      <c r="G17" s="25">
        <f>E17-F17</f>
        <v>107.1</v>
      </c>
    </row>
    <row r="18" spans="2:7" ht="15.75" thickBot="1" x14ac:dyDescent="0.3">
      <c r="B18" s="186"/>
      <c r="C18" s="187">
        <f>SUM(C13:C17)</f>
        <v>825</v>
      </c>
      <c r="D18" s="187">
        <f>SUM(D13:D17)</f>
        <v>0</v>
      </c>
      <c r="E18" s="187">
        <f>SUM(E13:E17)</f>
        <v>825</v>
      </c>
      <c r="F18" s="187">
        <f>SUM(F13:F17)</f>
        <v>108.15</v>
      </c>
      <c r="G18" s="188">
        <f>SUM(G13:G17)</f>
        <v>716.85</v>
      </c>
    </row>
    <row r="19" spans="2:7" ht="15.75" thickBot="1" x14ac:dyDescent="0.3"/>
    <row r="20" spans="2:7" x14ac:dyDescent="0.25">
      <c r="B20" s="2"/>
      <c r="C20" s="20"/>
      <c r="D20" s="26" t="s">
        <v>200</v>
      </c>
      <c r="E20" s="21"/>
      <c r="F20" s="21"/>
      <c r="G20" s="4"/>
    </row>
    <row r="21" spans="2:7" x14ac:dyDescent="0.25">
      <c r="B21" s="189" t="s">
        <v>3</v>
      </c>
      <c r="C21" s="190" t="s">
        <v>30</v>
      </c>
      <c r="D21" s="190" t="s">
        <v>192</v>
      </c>
      <c r="E21" s="190" t="s">
        <v>0</v>
      </c>
      <c r="F21" s="190" t="s">
        <v>198</v>
      </c>
      <c r="G21" s="191" t="s">
        <v>199</v>
      </c>
    </row>
    <row r="22" spans="2:7" x14ac:dyDescent="0.25">
      <c r="B22" s="24" t="s">
        <v>191</v>
      </c>
      <c r="C22" s="19">
        <f>G13</f>
        <v>104</v>
      </c>
      <c r="D22" s="19">
        <v>0</v>
      </c>
      <c r="E22" s="19">
        <f>C22+D22</f>
        <v>104</v>
      </c>
      <c r="F22" s="19">
        <v>0</v>
      </c>
      <c r="G22" s="25">
        <f>E22-F22</f>
        <v>104</v>
      </c>
    </row>
    <row r="23" spans="2:7" x14ac:dyDescent="0.25">
      <c r="B23" s="24" t="s">
        <v>193</v>
      </c>
      <c r="C23" s="19">
        <f>G14</f>
        <v>212.5</v>
      </c>
      <c r="D23" s="19">
        <v>0</v>
      </c>
      <c r="E23" s="19">
        <f>C23+D23</f>
        <v>212.5</v>
      </c>
      <c r="F23" s="19">
        <f>E23*0.15</f>
        <v>31.875</v>
      </c>
      <c r="G23" s="25">
        <f>E23-F23</f>
        <v>180.625</v>
      </c>
    </row>
    <row r="24" spans="2:7" x14ac:dyDescent="0.25">
      <c r="B24" s="24" t="s">
        <v>195</v>
      </c>
      <c r="C24" s="19">
        <f>G15</f>
        <v>255</v>
      </c>
      <c r="D24" s="19">
        <v>0</v>
      </c>
      <c r="E24" s="19">
        <f>C24+D24</f>
        <v>255</v>
      </c>
      <c r="F24" s="19">
        <f>E24*0.15</f>
        <v>38.25</v>
      </c>
      <c r="G24" s="25">
        <f>E24-F24</f>
        <v>216.75</v>
      </c>
    </row>
    <row r="25" spans="2:7" x14ac:dyDescent="0.25">
      <c r="B25" s="24" t="s">
        <v>194</v>
      </c>
      <c r="C25" s="19">
        <f>G16</f>
        <v>38.25</v>
      </c>
      <c r="D25" s="19">
        <v>0</v>
      </c>
      <c r="E25" s="19">
        <f>C25+D25</f>
        <v>38.25</v>
      </c>
      <c r="F25" s="19">
        <f>E25*0.15</f>
        <v>5.7374999999999998</v>
      </c>
      <c r="G25" s="25">
        <f>E25-F25</f>
        <v>32.512500000000003</v>
      </c>
    </row>
    <row r="26" spans="2:7" x14ac:dyDescent="0.25">
      <c r="B26" s="24" t="s">
        <v>196</v>
      </c>
      <c r="C26" s="19">
        <f>G17</f>
        <v>107.1</v>
      </c>
      <c r="D26" s="19">
        <v>0</v>
      </c>
      <c r="E26" s="19">
        <f>C26+D26</f>
        <v>107.1</v>
      </c>
      <c r="F26" s="19">
        <f>E26*0.15</f>
        <v>16.064999999999998</v>
      </c>
      <c r="G26" s="25">
        <f>E26-F26</f>
        <v>91.034999999999997</v>
      </c>
    </row>
    <row r="27" spans="2:7" ht="15.75" thickBot="1" x14ac:dyDescent="0.3">
      <c r="B27" s="186"/>
      <c r="C27" s="187">
        <f>SUM(C22:C26)</f>
        <v>716.85</v>
      </c>
      <c r="D27" s="187">
        <f>SUM(D22:D26)</f>
        <v>0</v>
      </c>
      <c r="E27" s="187">
        <f>SUM(E22:E26)</f>
        <v>716.85</v>
      </c>
      <c r="F27" s="187">
        <f>SUM(F22:F26)</f>
        <v>91.927499999999995</v>
      </c>
      <c r="G27" s="188">
        <f>SUM(G22:G26)</f>
        <v>624.92250000000001</v>
      </c>
    </row>
    <row r="28" spans="2:7" ht="15.75" thickBot="1" x14ac:dyDescent="0.3"/>
    <row r="29" spans="2:7" x14ac:dyDescent="0.25">
      <c r="B29" s="2"/>
      <c r="C29" s="20"/>
      <c r="D29" s="26" t="s">
        <v>201</v>
      </c>
      <c r="E29" s="21"/>
      <c r="F29" s="21"/>
      <c r="G29" s="4"/>
    </row>
    <row r="30" spans="2:7" x14ac:dyDescent="0.25">
      <c r="B30" s="189" t="s">
        <v>3</v>
      </c>
      <c r="C30" s="190" t="s">
        <v>30</v>
      </c>
      <c r="D30" s="190" t="s">
        <v>192</v>
      </c>
      <c r="E30" s="190" t="s">
        <v>0</v>
      </c>
      <c r="F30" s="190" t="s">
        <v>198</v>
      </c>
      <c r="G30" s="191" t="s">
        <v>199</v>
      </c>
    </row>
    <row r="31" spans="2:7" x14ac:dyDescent="0.25">
      <c r="B31" s="24" t="s">
        <v>191</v>
      </c>
      <c r="C31" s="19">
        <f>G22</f>
        <v>104</v>
      </c>
      <c r="D31" s="19">
        <v>0</v>
      </c>
      <c r="E31" s="19">
        <f>C31+D31</f>
        <v>104</v>
      </c>
      <c r="F31" s="19">
        <v>0</v>
      </c>
      <c r="G31" s="25">
        <f>E31-F31</f>
        <v>104</v>
      </c>
    </row>
    <row r="32" spans="2:7" x14ac:dyDescent="0.25">
      <c r="B32" s="24" t="s">
        <v>193</v>
      </c>
      <c r="C32" s="19">
        <f>G23</f>
        <v>180.625</v>
      </c>
      <c r="D32" s="19">
        <v>0</v>
      </c>
      <c r="E32" s="19">
        <f>C32+D32</f>
        <v>180.625</v>
      </c>
      <c r="F32" s="19">
        <f>E32*0.15</f>
        <v>27.09375</v>
      </c>
      <c r="G32" s="25">
        <f>E32-F32</f>
        <v>153.53125</v>
      </c>
    </row>
    <row r="33" spans="2:7" x14ac:dyDescent="0.25">
      <c r="B33" s="24" t="s">
        <v>195</v>
      </c>
      <c r="C33" s="19">
        <f>G24</f>
        <v>216.75</v>
      </c>
      <c r="D33" s="19">
        <v>0</v>
      </c>
      <c r="E33" s="19">
        <f>C33+D33</f>
        <v>216.75</v>
      </c>
      <c r="F33" s="19">
        <f>E33*0.15</f>
        <v>32.512499999999996</v>
      </c>
      <c r="G33" s="25">
        <f>E33-F33</f>
        <v>184.23750000000001</v>
      </c>
    </row>
    <row r="34" spans="2:7" x14ac:dyDescent="0.25">
      <c r="B34" s="24" t="s">
        <v>194</v>
      </c>
      <c r="C34" s="19">
        <f>G25</f>
        <v>32.512500000000003</v>
      </c>
      <c r="D34" s="19">
        <v>0</v>
      </c>
      <c r="E34" s="19">
        <f>C34+D34</f>
        <v>32.512500000000003</v>
      </c>
      <c r="F34" s="19">
        <f>E34*0.15</f>
        <v>4.8768750000000001</v>
      </c>
      <c r="G34" s="25">
        <f>E34-F34</f>
        <v>27.635625000000005</v>
      </c>
    </row>
    <row r="35" spans="2:7" x14ac:dyDescent="0.25">
      <c r="B35" s="24" t="s">
        <v>196</v>
      </c>
      <c r="C35" s="19">
        <f>G26</f>
        <v>91.034999999999997</v>
      </c>
      <c r="D35" s="19">
        <v>0</v>
      </c>
      <c r="E35" s="19">
        <f>C35+D35</f>
        <v>91.034999999999997</v>
      </c>
      <c r="F35" s="19">
        <f>E35*0.15</f>
        <v>13.655249999999999</v>
      </c>
      <c r="G35" s="25">
        <f>E35-F35</f>
        <v>77.379750000000001</v>
      </c>
    </row>
    <row r="36" spans="2:7" ht="15.75" thickBot="1" x14ac:dyDescent="0.3">
      <c r="B36" s="186"/>
      <c r="C36" s="187">
        <f>SUM(C31:C35)</f>
        <v>624.92250000000001</v>
      </c>
      <c r="D36" s="187">
        <f>SUM(D31:D35)</f>
        <v>0</v>
      </c>
      <c r="E36" s="187">
        <f>SUM(E31:E35)</f>
        <v>624.92250000000001</v>
      </c>
      <c r="F36" s="187">
        <f>SUM(F31:F35)</f>
        <v>78.138374999999996</v>
      </c>
      <c r="G36" s="188">
        <f>SUM(G31:G35)</f>
        <v>546.78412500000002</v>
      </c>
    </row>
    <row r="37" spans="2:7" ht="15.75" thickBot="1" x14ac:dyDescent="0.3"/>
    <row r="38" spans="2:7" x14ac:dyDescent="0.25">
      <c r="B38" s="2"/>
      <c r="C38" s="20"/>
      <c r="D38" s="26" t="s">
        <v>202</v>
      </c>
      <c r="E38" s="21"/>
      <c r="F38" s="21"/>
      <c r="G38" s="4"/>
    </row>
    <row r="39" spans="2:7" x14ac:dyDescent="0.25">
      <c r="B39" s="189" t="s">
        <v>3</v>
      </c>
      <c r="C39" s="190" t="s">
        <v>30</v>
      </c>
      <c r="D39" s="190" t="s">
        <v>192</v>
      </c>
      <c r="E39" s="190" t="s">
        <v>0</v>
      </c>
      <c r="F39" s="190" t="s">
        <v>198</v>
      </c>
      <c r="G39" s="191" t="s">
        <v>199</v>
      </c>
    </row>
    <row r="40" spans="2:7" x14ac:dyDescent="0.25">
      <c r="B40" s="24" t="s">
        <v>191</v>
      </c>
      <c r="C40" s="19">
        <f>G31</f>
        <v>104</v>
      </c>
      <c r="D40" s="19">
        <v>0</v>
      </c>
      <c r="E40" s="19">
        <f>C40+D40</f>
        <v>104</v>
      </c>
      <c r="F40" s="19">
        <v>0</v>
      </c>
      <c r="G40" s="25">
        <f>E40-F40</f>
        <v>104</v>
      </c>
    </row>
    <row r="41" spans="2:7" x14ac:dyDescent="0.25">
      <c r="B41" s="24" t="s">
        <v>193</v>
      </c>
      <c r="C41" s="19">
        <f>G32</f>
        <v>153.53125</v>
      </c>
      <c r="D41" s="19">
        <v>0</v>
      </c>
      <c r="E41" s="19">
        <f>C41+D41</f>
        <v>153.53125</v>
      </c>
      <c r="F41" s="19">
        <f>E41*0.15</f>
        <v>23.029687499999998</v>
      </c>
      <c r="G41" s="25">
        <f>E41-F41</f>
        <v>130.50156250000001</v>
      </c>
    </row>
    <row r="42" spans="2:7" x14ac:dyDescent="0.25">
      <c r="B42" s="24" t="s">
        <v>195</v>
      </c>
      <c r="C42" s="19">
        <f>G33</f>
        <v>184.23750000000001</v>
      </c>
      <c r="D42" s="19">
        <v>0</v>
      </c>
      <c r="E42" s="19">
        <f>C42+D42</f>
        <v>184.23750000000001</v>
      </c>
      <c r="F42" s="19">
        <f>E42*0.15</f>
        <v>27.635625000000001</v>
      </c>
      <c r="G42" s="25">
        <f>E42-F42</f>
        <v>156.60187500000001</v>
      </c>
    </row>
    <row r="43" spans="2:7" x14ac:dyDescent="0.25">
      <c r="B43" s="24" t="s">
        <v>194</v>
      </c>
      <c r="C43" s="19">
        <f>G34</f>
        <v>27.635625000000005</v>
      </c>
      <c r="D43" s="19">
        <v>0</v>
      </c>
      <c r="E43" s="19">
        <f>C43+D43</f>
        <v>27.635625000000005</v>
      </c>
      <c r="F43" s="19">
        <f>E43*0.15</f>
        <v>4.1453437500000003</v>
      </c>
      <c r="G43" s="25">
        <f>E43-F43</f>
        <v>23.490281250000002</v>
      </c>
    </row>
    <row r="44" spans="2:7" x14ac:dyDescent="0.25">
      <c r="B44" s="24" t="s">
        <v>196</v>
      </c>
      <c r="C44" s="19">
        <f>G35</f>
        <v>77.379750000000001</v>
      </c>
      <c r="D44" s="19">
        <v>0</v>
      </c>
      <c r="E44" s="19">
        <f>C44+D44</f>
        <v>77.379750000000001</v>
      </c>
      <c r="F44" s="19">
        <f>E44*0.15</f>
        <v>11.6069625</v>
      </c>
      <c r="G44" s="25">
        <f>E44-F44</f>
        <v>65.772787500000007</v>
      </c>
    </row>
    <row r="45" spans="2:7" ht="15.75" thickBot="1" x14ac:dyDescent="0.3">
      <c r="B45" s="186"/>
      <c r="C45" s="187">
        <f>SUM(C40:C44)</f>
        <v>546.78412500000002</v>
      </c>
      <c r="D45" s="187">
        <f>SUM(D40:D44)</f>
        <v>0</v>
      </c>
      <c r="E45" s="187">
        <f>SUM(E40:E44)</f>
        <v>546.78412500000002</v>
      </c>
      <c r="F45" s="187">
        <f>SUM(F40:F44)</f>
        <v>66.417618750000003</v>
      </c>
      <c r="G45" s="188">
        <f>SUM(G40:G44)</f>
        <v>480.36650625000004</v>
      </c>
    </row>
    <row r="46" spans="2:7" ht="15.75" thickBot="1" x14ac:dyDescent="0.3"/>
    <row r="47" spans="2:7" x14ac:dyDescent="0.25">
      <c r="B47" s="2"/>
      <c r="C47" s="20"/>
      <c r="D47" s="26" t="s">
        <v>203</v>
      </c>
      <c r="E47" s="21"/>
      <c r="F47" s="21"/>
      <c r="G47" s="4"/>
    </row>
    <row r="48" spans="2:7" x14ac:dyDescent="0.25">
      <c r="B48" s="189" t="s">
        <v>3</v>
      </c>
      <c r="C48" s="190" t="s">
        <v>30</v>
      </c>
      <c r="D48" s="190" t="s">
        <v>192</v>
      </c>
      <c r="E48" s="190" t="s">
        <v>0</v>
      </c>
      <c r="F48" s="190" t="s">
        <v>198</v>
      </c>
      <c r="G48" s="191" t="s">
        <v>199</v>
      </c>
    </row>
    <row r="49" spans="2:7" x14ac:dyDescent="0.25">
      <c r="B49" s="24" t="s">
        <v>191</v>
      </c>
      <c r="C49" s="19">
        <f>G40</f>
        <v>104</v>
      </c>
      <c r="D49" s="19">
        <v>0</v>
      </c>
      <c r="E49" s="19">
        <f>C49+D49</f>
        <v>104</v>
      </c>
      <c r="F49" s="19">
        <v>0</v>
      </c>
      <c r="G49" s="25">
        <f>E49-F49</f>
        <v>104</v>
      </c>
    </row>
    <row r="50" spans="2:7" x14ac:dyDescent="0.25">
      <c r="B50" s="24" t="s">
        <v>193</v>
      </c>
      <c r="C50" s="19">
        <f>G41</f>
        <v>130.50156250000001</v>
      </c>
      <c r="D50" s="19">
        <v>0</v>
      </c>
      <c r="E50" s="19">
        <f>C50+D50</f>
        <v>130.50156250000001</v>
      </c>
      <c r="F50" s="19">
        <f>E50*0.15</f>
        <v>19.575234375000001</v>
      </c>
      <c r="G50" s="25">
        <f>E50-F50</f>
        <v>110.926328125</v>
      </c>
    </row>
    <row r="51" spans="2:7" x14ac:dyDescent="0.25">
      <c r="B51" s="24" t="s">
        <v>195</v>
      </c>
      <c r="C51" s="19">
        <f>G42</f>
        <v>156.60187500000001</v>
      </c>
      <c r="D51" s="19">
        <v>0</v>
      </c>
      <c r="E51" s="19">
        <f>C51+D51</f>
        <v>156.60187500000001</v>
      </c>
      <c r="F51" s="19">
        <f>E51*0.15</f>
        <v>23.490281249999999</v>
      </c>
      <c r="G51" s="25">
        <f>E51-F51</f>
        <v>133.11159375</v>
      </c>
    </row>
    <row r="52" spans="2:7" x14ac:dyDescent="0.25">
      <c r="B52" s="24" t="s">
        <v>194</v>
      </c>
      <c r="C52" s="19">
        <f>G43</f>
        <v>23.490281250000002</v>
      </c>
      <c r="D52" s="19">
        <v>0</v>
      </c>
      <c r="E52" s="19">
        <f>C52+D52</f>
        <v>23.490281250000002</v>
      </c>
      <c r="F52" s="19">
        <f>E52*0.15</f>
        <v>3.5235421875000004</v>
      </c>
      <c r="G52" s="25">
        <f>E52-F52</f>
        <v>19.966739062500004</v>
      </c>
    </row>
    <row r="53" spans="2:7" x14ac:dyDescent="0.25">
      <c r="B53" s="24" t="s">
        <v>196</v>
      </c>
      <c r="C53" s="19">
        <f>G44</f>
        <v>65.772787500000007</v>
      </c>
      <c r="D53" s="19">
        <v>0</v>
      </c>
      <c r="E53" s="19">
        <f>C53+D53</f>
        <v>65.772787500000007</v>
      </c>
      <c r="F53" s="19">
        <f>E53*0.15</f>
        <v>9.8659181250000003</v>
      </c>
      <c r="G53" s="25">
        <f>E53-F53</f>
        <v>55.906869375000007</v>
      </c>
    </row>
    <row r="54" spans="2:7" ht="15.75" thickBot="1" x14ac:dyDescent="0.3">
      <c r="B54" s="186"/>
      <c r="C54" s="187">
        <f>SUM(C49:C53)</f>
        <v>480.36650625000004</v>
      </c>
      <c r="D54" s="187">
        <f>SUM(D49:D53)</f>
        <v>0</v>
      </c>
      <c r="E54" s="187">
        <f>SUM(E49:E53)</f>
        <v>480.36650625000004</v>
      </c>
      <c r="F54" s="187">
        <f>SUM(F49:F53)</f>
        <v>56.454975937500002</v>
      </c>
      <c r="G54" s="188">
        <f>SUM(G49:G53)</f>
        <v>423.91153031249996</v>
      </c>
    </row>
    <row r="55" spans="2:7" ht="15.75" thickBot="1" x14ac:dyDescent="0.3"/>
    <row r="56" spans="2:7" x14ac:dyDescent="0.25">
      <c r="B56" s="2"/>
      <c r="C56" s="20"/>
      <c r="D56" s="26" t="s">
        <v>204</v>
      </c>
      <c r="E56" s="21"/>
      <c r="F56" s="21"/>
      <c r="G56" s="4"/>
    </row>
    <row r="57" spans="2:7" x14ac:dyDescent="0.25">
      <c r="B57" s="189" t="s">
        <v>3</v>
      </c>
      <c r="C57" s="190" t="s">
        <v>30</v>
      </c>
      <c r="D57" s="190" t="s">
        <v>192</v>
      </c>
      <c r="E57" s="190" t="s">
        <v>0</v>
      </c>
      <c r="F57" s="190" t="s">
        <v>198</v>
      </c>
      <c r="G57" s="191" t="s">
        <v>199</v>
      </c>
    </row>
    <row r="58" spans="2:7" x14ac:dyDescent="0.25">
      <c r="B58" s="24" t="s">
        <v>191</v>
      </c>
      <c r="C58" s="19">
        <f>G49</f>
        <v>104</v>
      </c>
      <c r="D58" s="19">
        <v>0</v>
      </c>
      <c r="E58" s="19">
        <f>C58+D58</f>
        <v>104</v>
      </c>
      <c r="F58" s="19">
        <v>0</v>
      </c>
      <c r="G58" s="25">
        <f>E58-F58</f>
        <v>104</v>
      </c>
    </row>
    <row r="59" spans="2:7" x14ac:dyDescent="0.25">
      <c r="B59" s="24" t="s">
        <v>193</v>
      </c>
      <c r="C59" s="19">
        <f>G50</f>
        <v>110.926328125</v>
      </c>
      <c r="D59" s="19">
        <v>0</v>
      </c>
      <c r="E59" s="19">
        <f>C59+D59</f>
        <v>110.926328125</v>
      </c>
      <c r="F59" s="19">
        <f>E59*0.15</f>
        <v>16.63894921875</v>
      </c>
      <c r="G59" s="25">
        <f>E59-F59</f>
        <v>94.287378906249998</v>
      </c>
    </row>
    <row r="60" spans="2:7" x14ac:dyDescent="0.25">
      <c r="B60" s="24" t="s">
        <v>195</v>
      </c>
      <c r="C60" s="19">
        <f>G51</f>
        <v>133.11159375</v>
      </c>
      <c r="D60" s="19">
        <v>0</v>
      </c>
      <c r="E60" s="19">
        <f>C60+D60</f>
        <v>133.11159375</v>
      </c>
      <c r="F60" s="19">
        <f>E60*0.15</f>
        <v>19.9667390625</v>
      </c>
      <c r="G60" s="25">
        <f>E60-F60</f>
        <v>113.1448546875</v>
      </c>
    </row>
    <row r="61" spans="2:7" x14ac:dyDescent="0.25">
      <c r="B61" s="24" t="s">
        <v>194</v>
      </c>
      <c r="C61" s="19">
        <f>G52</f>
        <v>19.966739062500004</v>
      </c>
      <c r="D61" s="19">
        <v>0</v>
      </c>
      <c r="E61" s="19">
        <f>C61+D61</f>
        <v>19.966739062500004</v>
      </c>
      <c r="F61" s="19">
        <f>E61*0.15</f>
        <v>2.9950108593750007</v>
      </c>
      <c r="G61" s="25">
        <f>E61-F61</f>
        <v>16.971728203125004</v>
      </c>
    </row>
    <row r="62" spans="2:7" x14ac:dyDescent="0.25">
      <c r="B62" s="24" t="s">
        <v>196</v>
      </c>
      <c r="C62" s="19">
        <f>G53</f>
        <v>55.906869375000007</v>
      </c>
      <c r="D62" s="19">
        <v>0</v>
      </c>
      <c r="E62" s="19">
        <f>C62+D62</f>
        <v>55.906869375000007</v>
      </c>
      <c r="F62" s="19">
        <f>E62*0.15</f>
        <v>8.3860304062500006</v>
      </c>
      <c r="G62" s="25">
        <f>E62-F62</f>
        <v>47.520838968750006</v>
      </c>
    </row>
    <row r="63" spans="2:7" ht="15.75" thickBot="1" x14ac:dyDescent="0.3">
      <c r="B63" s="186"/>
      <c r="C63" s="187">
        <f>SUM(C58:C62)</f>
        <v>423.91153031249996</v>
      </c>
      <c r="D63" s="187">
        <f>SUM(D58:D62)</f>
        <v>0</v>
      </c>
      <c r="E63" s="187">
        <f>SUM(E58:E62)</f>
        <v>423.91153031249996</v>
      </c>
      <c r="F63" s="187">
        <f>SUM(F58:F62)</f>
        <v>47.986729546874997</v>
      </c>
      <c r="G63" s="188">
        <f>SUM(G58:G62)</f>
        <v>375.92480076562504</v>
      </c>
    </row>
    <row r="64" spans="2:7" ht="15.75" thickBot="1" x14ac:dyDescent="0.3"/>
    <row r="65" spans="2:7" x14ac:dyDescent="0.25">
      <c r="B65" s="2"/>
      <c r="C65" s="20"/>
      <c r="D65" s="26" t="s">
        <v>205</v>
      </c>
      <c r="E65" s="21"/>
      <c r="F65" s="21"/>
      <c r="G65" s="4"/>
    </row>
    <row r="66" spans="2:7" x14ac:dyDescent="0.25">
      <c r="B66" s="189" t="s">
        <v>3</v>
      </c>
      <c r="C66" s="190" t="s">
        <v>30</v>
      </c>
      <c r="D66" s="190" t="s">
        <v>192</v>
      </c>
      <c r="E66" s="190" t="s">
        <v>0</v>
      </c>
      <c r="F66" s="190" t="s">
        <v>198</v>
      </c>
      <c r="G66" s="191" t="s">
        <v>199</v>
      </c>
    </row>
    <row r="67" spans="2:7" x14ac:dyDescent="0.25">
      <c r="B67" s="24" t="s">
        <v>191</v>
      </c>
      <c r="C67" s="19">
        <f>G58</f>
        <v>104</v>
      </c>
      <c r="D67" s="19">
        <v>0</v>
      </c>
      <c r="E67" s="19">
        <f>C67+D67</f>
        <v>104</v>
      </c>
      <c r="F67" s="19">
        <v>0</v>
      </c>
      <c r="G67" s="25">
        <f>E67-F67</f>
        <v>104</v>
      </c>
    </row>
    <row r="68" spans="2:7" x14ac:dyDescent="0.25">
      <c r="B68" s="24" t="s">
        <v>193</v>
      </c>
      <c r="C68" s="19">
        <f>G59</f>
        <v>94.287378906249998</v>
      </c>
      <c r="D68" s="19">
        <v>0</v>
      </c>
      <c r="E68" s="19">
        <f>C68+D68</f>
        <v>94.287378906249998</v>
      </c>
      <c r="F68" s="19">
        <f>E68*0.15</f>
        <v>14.1431068359375</v>
      </c>
      <c r="G68" s="25">
        <f>E68-F68</f>
        <v>80.144272070312496</v>
      </c>
    </row>
    <row r="69" spans="2:7" x14ac:dyDescent="0.25">
      <c r="B69" s="24" t="s">
        <v>195</v>
      </c>
      <c r="C69" s="19">
        <f>G60</f>
        <v>113.1448546875</v>
      </c>
      <c r="D69" s="19">
        <v>0</v>
      </c>
      <c r="E69" s="19">
        <f>C69+D69</f>
        <v>113.1448546875</v>
      </c>
      <c r="F69" s="19">
        <f>E69*0.15</f>
        <v>16.971728203125</v>
      </c>
      <c r="G69" s="25">
        <f>E69-F69</f>
        <v>96.173126484375004</v>
      </c>
    </row>
    <row r="70" spans="2:7" x14ac:dyDescent="0.25">
      <c r="B70" s="24" t="s">
        <v>194</v>
      </c>
      <c r="C70" s="19">
        <f>G61</f>
        <v>16.971728203125004</v>
      </c>
      <c r="D70" s="19">
        <v>0</v>
      </c>
      <c r="E70" s="19">
        <f>C70+D70</f>
        <v>16.971728203125004</v>
      </c>
      <c r="F70" s="19">
        <f>E70*0.15</f>
        <v>2.5457592304687506</v>
      </c>
      <c r="G70" s="25">
        <f>E70-F70</f>
        <v>14.425968972656253</v>
      </c>
    </row>
    <row r="71" spans="2:7" x14ac:dyDescent="0.25">
      <c r="B71" s="24" t="s">
        <v>196</v>
      </c>
      <c r="C71" s="19">
        <f>G62</f>
        <v>47.520838968750006</v>
      </c>
      <c r="D71" s="19">
        <v>0</v>
      </c>
      <c r="E71" s="19">
        <f>C71+D71</f>
        <v>47.520838968750006</v>
      </c>
      <c r="F71" s="19">
        <f>E71*0.15</f>
        <v>7.1281258453125007</v>
      </c>
      <c r="G71" s="25">
        <f>E71-F71</f>
        <v>40.392713123437503</v>
      </c>
    </row>
    <row r="72" spans="2:7" ht="15.75" thickBot="1" x14ac:dyDescent="0.3">
      <c r="B72" s="186"/>
      <c r="C72" s="187">
        <f>SUM(C67:C71)</f>
        <v>375.92480076562504</v>
      </c>
      <c r="D72" s="187">
        <f>SUM(D67:D71)</f>
        <v>0</v>
      </c>
      <c r="E72" s="187">
        <f>SUM(E67:E71)</f>
        <v>375.92480076562504</v>
      </c>
      <c r="F72" s="187">
        <f>SUM(F67:F71)</f>
        <v>40.788720114843755</v>
      </c>
      <c r="G72" s="188">
        <f>SUM(G67:G71)</f>
        <v>335.13608065078125</v>
      </c>
    </row>
  </sheetData>
  <mergeCells count="1">
    <mergeCell ref="B1:G1"/>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3:S83"/>
  <sheetViews>
    <sheetView tabSelected="1" topLeftCell="A3" workbookViewId="0">
      <selection activeCell="K17" sqref="K17"/>
    </sheetView>
  </sheetViews>
  <sheetFormatPr defaultRowHeight="15" x14ac:dyDescent="0.25"/>
  <sheetData>
    <row r="3" spans="2:2" x14ac:dyDescent="0.25">
      <c r="B3" s="209" t="s">
        <v>255</v>
      </c>
    </row>
    <row r="5" spans="2:2" x14ac:dyDescent="0.25">
      <c r="B5" t="s">
        <v>256</v>
      </c>
    </row>
    <row r="7" spans="2:2" x14ac:dyDescent="0.25">
      <c r="B7" t="s">
        <v>257</v>
      </c>
    </row>
    <row r="9" spans="2:2" x14ac:dyDescent="0.25">
      <c r="B9" s="209" t="s">
        <v>258</v>
      </c>
    </row>
    <row r="11" spans="2:2" x14ac:dyDescent="0.25">
      <c r="B11" s="209" t="s">
        <v>262</v>
      </c>
    </row>
    <row r="13" spans="2:2" x14ac:dyDescent="0.25">
      <c r="B13" s="209" t="s">
        <v>263</v>
      </c>
    </row>
    <row r="14" spans="2:2" x14ac:dyDescent="0.25">
      <c r="B14" s="208"/>
    </row>
    <row r="15" spans="2:2" x14ac:dyDescent="0.25">
      <c r="B15" s="209" t="s">
        <v>264</v>
      </c>
    </row>
    <row r="16" spans="2:2" x14ac:dyDescent="0.25">
      <c r="B16" s="208"/>
    </row>
    <row r="17" spans="2:11" x14ac:dyDescent="0.25">
      <c r="B17" s="208"/>
      <c r="K17" t="s">
        <v>344</v>
      </c>
    </row>
    <row r="18" spans="2:11" x14ac:dyDescent="0.25">
      <c r="B18" s="209" t="s">
        <v>265</v>
      </c>
      <c r="K18" t="s">
        <v>343</v>
      </c>
    </row>
    <row r="20" spans="2:11" x14ac:dyDescent="0.25">
      <c r="B20" s="209" t="s">
        <v>266</v>
      </c>
    </row>
    <row r="23" spans="2:11" x14ac:dyDescent="0.25">
      <c r="B23" s="209" t="s">
        <v>267</v>
      </c>
    </row>
    <row r="25" spans="2:11" x14ac:dyDescent="0.25">
      <c r="B25" s="209" t="s">
        <v>268</v>
      </c>
    </row>
    <row r="28" spans="2:11" x14ac:dyDescent="0.25">
      <c r="B28" s="209" t="s">
        <v>269</v>
      </c>
    </row>
    <row r="30" spans="2:11" x14ac:dyDescent="0.25">
      <c r="B30" s="209" t="s">
        <v>270</v>
      </c>
    </row>
    <row r="31" spans="2:11" x14ac:dyDescent="0.25">
      <c r="B31" s="208"/>
    </row>
    <row r="32" spans="2:11" x14ac:dyDescent="0.25">
      <c r="B32" s="209" t="s">
        <v>271</v>
      </c>
    </row>
    <row r="33" spans="2:2" x14ac:dyDescent="0.25">
      <c r="B33" s="208"/>
    </row>
    <row r="34" spans="2:2" x14ac:dyDescent="0.25">
      <c r="B34" t="s">
        <v>272</v>
      </c>
    </row>
    <row r="36" spans="2:2" x14ac:dyDescent="0.25">
      <c r="B36" t="s">
        <v>273</v>
      </c>
    </row>
    <row r="38" spans="2:2" x14ac:dyDescent="0.25">
      <c r="B38" t="s">
        <v>274</v>
      </c>
    </row>
    <row r="40" spans="2:2" x14ac:dyDescent="0.25">
      <c r="B40" s="209" t="s">
        <v>275</v>
      </c>
    </row>
    <row r="46" spans="2:2" x14ac:dyDescent="0.25">
      <c r="B46" t="s">
        <v>276</v>
      </c>
    </row>
    <row r="50" spans="2:2" x14ac:dyDescent="0.25">
      <c r="B50" t="s">
        <v>277</v>
      </c>
    </row>
    <row r="52" spans="2:2" x14ac:dyDescent="0.25">
      <c r="B52" t="s">
        <v>278</v>
      </c>
    </row>
    <row r="54" spans="2:2" x14ac:dyDescent="0.25">
      <c r="B54" t="s">
        <v>279</v>
      </c>
    </row>
    <row r="56" spans="2:2" x14ac:dyDescent="0.25">
      <c r="B56" s="209" t="s">
        <v>280</v>
      </c>
    </row>
    <row r="59" spans="2:2" x14ac:dyDescent="0.25">
      <c r="B59" s="210" t="s">
        <v>281</v>
      </c>
    </row>
    <row r="61" spans="2:2" x14ac:dyDescent="0.25">
      <c r="B61" s="210" t="s">
        <v>282</v>
      </c>
    </row>
    <row r="62" spans="2:2" x14ac:dyDescent="0.25">
      <c r="B62" s="210"/>
    </row>
    <row r="63" spans="2:2" x14ac:dyDescent="0.25">
      <c r="B63" s="210" t="s">
        <v>283</v>
      </c>
    </row>
    <row r="65" spans="2:19" x14ac:dyDescent="0.25">
      <c r="B65" s="209" t="s">
        <v>284</v>
      </c>
    </row>
    <row r="67" spans="2:19" x14ac:dyDescent="0.25">
      <c r="B67" s="209" t="s">
        <v>285</v>
      </c>
    </row>
    <row r="69" spans="2:19" x14ac:dyDescent="0.25">
      <c r="B69" s="210" t="s">
        <v>286</v>
      </c>
    </row>
    <row r="73" spans="2:19" x14ac:dyDescent="0.25">
      <c r="K73">
        <v>9.02</v>
      </c>
      <c r="L73">
        <v>12.33</v>
      </c>
      <c r="M73">
        <v>13.43</v>
      </c>
      <c r="N73">
        <v>14.58</v>
      </c>
      <c r="O73">
        <v>14.94</v>
      </c>
      <c r="P73">
        <v>15.31</v>
      </c>
      <c r="Q73">
        <v>15.7</v>
      </c>
      <c r="R73">
        <v>16.09</v>
      </c>
      <c r="S73">
        <v>16.489999999999998</v>
      </c>
    </row>
    <row r="74" spans="2:19" x14ac:dyDescent="0.25">
      <c r="B74" t="s">
        <v>287</v>
      </c>
      <c r="L74" s="261">
        <f>L73/K73-1</f>
        <v>0.36696230598669621</v>
      </c>
      <c r="M74" s="261">
        <f t="shared" ref="M74:S74" si="0">M73/L73-1</f>
        <v>8.9213300892132974E-2</v>
      </c>
      <c r="N74" s="261">
        <f t="shared" si="0"/>
        <v>8.5629188384214405E-2</v>
      </c>
      <c r="O74" s="261">
        <f t="shared" si="0"/>
        <v>2.4691358024691246E-2</v>
      </c>
      <c r="P74" s="261">
        <f t="shared" si="0"/>
        <v>2.4765729585006779E-2</v>
      </c>
      <c r="Q74" s="261">
        <f t="shared" si="0"/>
        <v>2.5473546701502148E-2</v>
      </c>
      <c r="R74" s="261">
        <f t="shared" si="0"/>
        <v>2.4840764331210297E-2</v>
      </c>
      <c r="S74" s="261">
        <f t="shared" si="0"/>
        <v>2.4860161591050201E-2</v>
      </c>
    </row>
    <row r="77" spans="2:19" ht="30" x14ac:dyDescent="0.25">
      <c r="C77" s="208" t="s">
        <v>333</v>
      </c>
    </row>
    <row r="78" spans="2:19" ht="30" x14ac:dyDescent="0.25">
      <c r="C78" s="208" t="s">
        <v>334</v>
      </c>
    </row>
    <row r="79" spans="2:19" ht="30" x14ac:dyDescent="0.25">
      <c r="C79" s="208" t="s">
        <v>335</v>
      </c>
    </row>
    <row r="80" spans="2:19" ht="30" x14ac:dyDescent="0.25">
      <c r="C80" s="208" t="s">
        <v>336</v>
      </c>
    </row>
    <row r="81" spans="3:3" ht="30" x14ac:dyDescent="0.25">
      <c r="C81" s="208" t="s">
        <v>337</v>
      </c>
    </row>
    <row r="82" spans="3:3" ht="30" x14ac:dyDescent="0.25">
      <c r="C82" s="208" t="s">
        <v>338</v>
      </c>
    </row>
    <row r="83" spans="3:3" ht="45" x14ac:dyDescent="0.25">
      <c r="C83" s="208" t="s">
        <v>339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G61"/>
  <sheetViews>
    <sheetView showGridLines="0" topLeftCell="A34" zoomScaleNormal="100" zoomScaleSheetLayoutView="75" workbookViewId="0">
      <selection activeCell="E44" sqref="E44"/>
    </sheetView>
  </sheetViews>
  <sheetFormatPr defaultColWidth="8.85546875" defaultRowHeight="15" x14ac:dyDescent="0.25"/>
  <cols>
    <col min="1" max="1" width="3.7109375" style="36" customWidth="1"/>
    <col min="2" max="2" width="39.7109375" style="36" customWidth="1"/>
    <col min="3" max="3" width="14.85546875" style="36" hidden="1" customWidth="1"/>
    <col min="4" max="4" width="12.7109375" style="36" customWidth="1"/>
    <col min="5" max="5" width="12.7109375" style="47" bestFit="1" customWidth="1"/>
    <col min="6" max="6" width="13.42578125" style="47" bestFit="1" customWidth="1"/>
    <col min="7" max="7" width="12.7109375" style="47" bestFit="1" customWidth="1"/>
    <col min="8" max="9" width="12" style="36" bestFit="1" customWidth="1"/>
    <col min="10" max="11" width="13.28515625" style="36" bestFit="1" customWidth="1"/>
    <col min="12" max="12" width="10.5703125" style="36" bestFit="1" customWidth="1"/>
    <col min="13" max="13" width="11.28515625" style="36" bestFit="1" customWidth="1"/>
    <col min="14" max="15" width="9.140625" style="36" bestFit="1" customWidth="1"/>
    <col min="16" max="18" width="13.140625" style="36" bestFit="1" customWidth="1"/>
    <col min="19" max="16384" width="8.85546875" style="36"/>
  </cols>
  <sheetData>
    <row r="1" spans="1:22" ht="18.75" customHeight="1" x14ac:dyDescent="0.3">
      <c r="A1" s="50" t="s">
        <v>152</v>
      </c>
      <c r="B1" s="113"/>
      <c r="C1" s="113"/>
      <c r="D1" s="113"/>
      <c r="E1" s="113"/>
      <c r="F1" s="113"/>
      <c r="G1" s="113"/>
      <c r="H1" s="113"/>
      <c r="I1" s="113"/>
      <c r="J1" s="113"/>
      <c r="K1" s="114"/>
      <c r="L1" s="74"/>
    </row>
    <row r="2" spans="1:22" ht="9" customHeight="1" x14ac:dyDescent="0.25">
      <c r="A2" s="33"/>
      <c r="B2" s="92"/>
      <c r="C2" s="92"/>
      <c r="D2" s="92"/>
      <c r="E2" s="93"/>
      <c r="F2" s="93"/>
      <c r="G2" s="93"/>
      <c r="H2" s="74"/>
      <c r="I2" s="94"/>
      <c r="J2" s="94"/>
      <c r="K2" s="94"/>
      <c r="L2" s="74"/>
    </row>
    <row r="3" spans="1:22" x14ac:dyDescent="0.25">
      <c r="A3" s="109" t="s">
        <v>53</v>
      </c>
      <c r="B3" s="109"/>
      <c r="C3" s="109"/>
      <c r="D3" s="109"/>
      <c r="E3" s="109"/>
      <c r="F3" s="109"/>
      <c r="G3" s="109"/>
      <c r="H3" s="109"/>
      <c r="I3" s="109"/>
      <c r="J3" s="109"/>
      <c r="K3" s="110"/>
      <c r="L3" s="74"/>
    </row>
    <row r="4" spans="1:22" x14ac:dyDescent="0.25">
      <c r="A4" s="74"/>
      <c r="B4" s="74"/>
      <c r="C4" s="74"/>
      <c r="D4" s="74"/>
      <c r="E4" s="93"/>
      <c r="F4" s="93"/>
      <c r="G4" s="93"/>
      <c r="H4" s="74"/>
      <c r="I4" s="74"/>
      <c r="J4" s="74"/>
      <c r="K4" s="95" t="s">
        <v>121</v>
      </c>
      <c r="L4" s="95"/>
    </row>
    <row r="5" spans="1:22" x14ac:dyDescent="0.25">
      <c r="A5" s="266"/>
      <c r="B5" s="267" t="s">
        <v>3</v>
      </c>
      <c r="C5" s="219"/>
      <c r="D5" s="219" t="s">
        <v>2</v>
      </c>
      <c r="E5" s="220" t="str">
        <f>PL!D5</f>
        <v>2022-23</v>
      </c>
      <c r="F5" s="220" t="str">
        <f>PL!E5</f>
        <v>2023-24</v>
      </c>
      <c r="G5" s="220" t="str">
        <f>PL!F5</f>
        <v>2024-25</v>
      </c>
      <c r="H5" s="220" t="str">
        <f>PL!G5</f>
        <v>2025-26</v>
      </c>
      <c r="I5" s="220" t="str">
        <f>PL!H5</f>
        <v>2026-27</v>
      </c>
      <c r="J5" s="220" t="str">
        <f>PL!I5</f>
        <v>2027-28</v>
      </c>
      <c r="K5" s="220" t="str">
        <f>PL!J5</f>
        <v>2028-29</v>
      </c>
      <c r="L5" s="74"/>
    </row>
    <row r="6" spans="1:22" s="96" customFormat="1" x14ac:dyDescent="0.25">
      <c r="A6" s="266"/>
      <c r="B6" s="267"/>
      <c r="C6" s="219"/>
      <c r="D6" s="219" t="str">
        <f>E6</f>
        <v>(Projected)</v>
      </c>
      <c r="E6" s="221" t="s">
        <v>57</v>
      </c>
      <c r="F6" s="221" t="s">
        <v>57</v>
      </c>
      <c r="G6" s="221" t="s">
        <v>57</v>
      </c>
      <c r="H6" s="221" t="s">
        <v>57</v>
      </c>
      <c r="I6" s="221" t="s">
        <v>57</v>
      </c>
      <c r="J6" s="221" t="s">
        <v>57</v>
      </c>
      <c r="K6" s="221" t="s">
        <v>57</v>
      </c>
      <c r="L6" s="95"/>
    </row>
    <row r="7" spans="1:22" x14ac:dyDescent="0.25">
      <c r="A7" s="263" t="s">
        <v>4</v>
      </c>
      <c r="B7" s="222" t="s">
        <v>67</v>
      </c>
      <c r="C7" s="222"/>
      <c r="D7" s="222"/>
      <c r="E7" s="223"/>
      <c r="F7" s="223"/>
      <c r="G7" s="223"/>
      <c r="H7" s="224"/>
      <c r="I7" s="224"/>
      <c r="J7" s="224"/>
      <c r="K7" s="224"/>
      <c r="L7" s="74"/>
    </row>
    <row r="8" spans="1:22" x14ac:dyDescent="0.25">
      <c r="A8" s="263"/>
      <c r="B8" s="225" t="s">
        <v>72</v>
      </c>
      <c r="C8" s="225"/>
      <c r="D8" s="225"/>
      <c r="E8" s="226"/>
      <c r="F8" s="226"/>
      <c r="G8" s="226"/>
      <c r="H8" s="226"/>
      <c r="I8" s="226"/>
      <c r="J8" s="226"/>
      <c r="K8" s="226"/>
      <c r="L8" s="74"/>
    </row>
    <row r="9" spans="1:22" x14ac:dyDescent="0.25">
      <c r="A9" s="263"/>
      <c r="B9" s="224" t="s">
        <v>18</v>
      </c>
      <c r="C9" s="224"/>
      <c r="D9" s="227">
        <f>'COP MF'!D18</f>
        <v>100</v>
      </c>
      <c r="E9" s="227">
        <f>'COP MF'!D18</f>
        <v>100</v>
      </c>
      <c r="F9" s="227">
        <f>'COP MF'!F18</f>
        <v>100</v>
      </c>
      <c r="G9" s="227">
        <v>159.5</v>
      </c>
      <c r="H9" s="227">
        <v>159.5</v>
      </c>
      <c r="I9" s="227">
        <v>159.5</v>
      </c>
      <c r="J9" s="227">
        <v>159.5</v>
      </c>
      <c r="K9" s="227">
        <v>159.5</v>
      </c>
      <c r="L9" s="97"/>
      <c r="M9" s="98"/>
      <c r="N9" s="98"/>
      <c r="O9" s="98"/>
      <c r="P9" s="98"/>
      <c r="Q9" s="98"/>
      <c r="R9" s="98"/>
      <c r="S9" s="98"/>
      <c r="T9" s="98"/>
      <c r="U9" s="98"/>
      <c r="V9" s="98"/>
    </row>
    <row r="10" spans="1:22" x14ac:dyDescent="0.25">
      <c r="A10" s="263"/>
      <c r="B10" s="224" t="s">
        <v>68</v>
      </c>
      <c r="C10" s="224"/>
      <c r="D10" s="227">
        <f>PL!C32</f>
        <v>0</v>
      </c>
      <c r="E10" s="227">
        <f>IF(D10+PL!D32&gt;0,D10+PL!D32,0)</f>
        <v>0</v>
      </c>
      <c r="F10" s="227">
        <f>IF(E10+PL!E32&gt;0,E10+PL!E32,0)</f>
        <v>0</v>
      </c>
      <c r="G10" s="227">
        <f>IF(F10+PL!F32&gt;0,F10+PL!F32,0)</f>
        <v>69.670478499999945</v>
      </c>
      <c r="H10" s="227">
        <f>IF(G10+PL!G32&gt;0,G10+PL!G32,0)</f>
        <v>192.66060537500024</v>
      </c>
      <c r="I10" s="227">
        <f>IF(H10+PL!H32&gt;0,H10+PL!H32,0)</f>
        <v>369.02691284375055</v>
      </c>
      <c r="J10" s="227">
        <f>IF(I10+PL!I32&gt;0,I10+PL!I32,0)</f>
        <v>609.93549474593806</v>
      </c>
      <c r="K10" s="227">
        <f>IF(J10+PL!J32&gt;0,J10+PL!J32,0)</f>
        <v>938.66273367651377</v>
      </c>
      <c r="L10" s="97"/>
      <c r="M10" s="98"/>
      <c r="N10" s="98"/>
      <c r="O10" s="98"/>
      <c r="P10" s="98"/>
      <c r="Q10" s="98"/>
      <c r="R10" s="98"/>
    </row>
    <row r="11" spans="1:22" hidden="1" x14ac:dyDescent="0.25">
      <c r="A11" s="263"/>
      <c r="B11" s="224" t="s">
        <v>87</v>
      </c>
      <c r="C11" s="224"/>
      <c r="D11" s="224"/>
      <c r="E11" s="227"/>
      <c r="F11" s="227"/>
      <c r="G11" s="227"/>
      <c r="H11" s="227"/>
      <c r="I11" s="227"/>
      <c r="J11" s="227"/>
      <c r="K11" s="227"/>
      <c r="L11" s="74"/>
    </row>
    <row r="12" spans="1:22" x14ac:dyDescent="0.25">
      <c r="A12" s="263"/>
      <c r="B12" s="228"/>
      <c r="C12" s="228"/>
      <c r="D12" s="228"/>
      <c r="E12" s="228"/>
      <c r="F12" s="229"/>
      <c r="G12" s="229"/>
      <c r="H12" s="228"/>
      <c r="I12" s="228"/>
      <c r="J12" s="228"/>
      <c r="K12" s="228"/>
      <c r="L12" s="74"/>
    </row>
    <row r="13" spans="1:22" x14ac:dyDescent="0.25">
      <c r="A13" s="263"/>
      <c r="B13" s="225" t="s">
        <v>19</v>
      </c>
      <c r="C13" s="225"/>
      <c r="D13" s="225"/>
      <c r="E13" s="230"/>
      <c r="F13" s="230"/>
      <c r="G13" s="230"/>
      <c r="H13" s="230"/>
      <c r="I13" s="230"/>
      <c r="J13" s="230"/>
      <c r="K13" s="230"/>
      <c r="L13" s="74"/>
    </row>
    <row r="14" spans="1:22" x14ac:dyDescent="0.25">
      <c r="A14" s="263"/>
      <c r="B14" s="224" t="s">
        <v>20</v>
      </c>
      <c r="C14" s="224"/>
      <c r="D14" s="227">
        <v>0</v>
      </c>
      <c r="E14" s="227">
        <v>400</v>
      </c>
      <c r="F14" s="227">
        <v>400</v>
      </c>
      <c r="G14" s="227">
        <v>400</v>
      </c>
      <c r="H14" s="227">
        <v>500</v>
      </c>
      <c r="I14" s="227">
        <v>500</v>
      </c>
      <c r="J14" s="227">
        <v>600</v>
      </c>
      <c r="K14" s="227">
        <v>600</v>
      </c>
      <c r="L14" s="97"/>
      <c r="M14" s="98"/>
      <c r="N14" s="98"/>
      <c r="O14" s="98"/>
      <c r="P14" s="98"/>
      <c r="Q14" s="98"/>
      <c r="R14" s="98"/>
    </row>
    <row r="15" spans="1:22" x14ac:dyDescent="0.25">
      <c r="A15" s="263"/>
      <c r="B15" s="224" t="s">
        <v>223</v>
      </c>
      <c r="C15" s="224"/>
      <c r="D15" s="227">
        <f>'COP MF'!D19</f>
        <v>125</v>
      </c>
      <c r="E15" s="227">
        <f>D15+30</f>
        <v>155</v>
      </c>
      <c r="F15" s="227">
        <f t="shared" ref="F15:K15" si="0">E15</f>
        <v>155</v>
      </c>
      <c r="G15" s="227">
        <f t="shared" si="0"/>
        <v>155</v>
      </c>
      <c r="H15" s="227">
        <f t="shared" si="0"/>
        <v>155</v>
      </c>
      <c r="I15" s="227">
        <f t="shared" si="0"/>
        <v>155</v>
      </c>
      <c r="J15" s="227">
        <f t="shared" si="0"/>
        <v>155</v>
      </c>
      <c r="K15" s="227">
        <f t="shared" si="0"/>
        <v>155</v>
      </c>
      <c r="L15" s="97"/>
      <c r="M15" s="98"/>
      <c r="N15" s="98"/>
      <c r="O15" s="98"/>
      <c r="P15" s="98"/>
      <c r="Q15" s="98"/>
    </row>
    <row r="16" spans="1:22" x14ac:dyDescent="0.25">
      <c r="A16" s="263"/>
      <c r="B16" s="224" t="s">
        <v>1</v>
      </c>
      <c r="C16" s="224"/>
      <c r="D16" s="227">
        <v>558.33333333333314</v>
      </c>
      <c r="E16" s="227">
        <v>458.33333333333309</v>
      </c>
      <c r="F16" s="227">
        <v>358.33333333333331</v>
      </c>
      <c r="G16" s="227">
        <v>258.33333333333354</v>
      </c>
      <c r="H16" s="227">
        <v>158.33333333333343</v>
      </c>
      <c r="I16" s="227">
        <v>58.333333333333428</v>
      </c>
      <c r="J16" s="227">
        <v>25.000000000000092</v>
      </c>
      <c r="K16" s="227">
        <f>'TERM LOAN REPAYMENT'!J93</f>
        <v>25.000000000000092</v>
      </c>
      <c r="L16" s="97"/>
      <c r="M16" s="98"/>
      <c r="N16" s="98"/>
      <c r="O16" s="98"/>
      <c r="P16" s="98"/>
      <c r="Q16" s="98"/>
      <c r="R16" s="98"/>
      <c r="S16" s="98"/>
    </row>
    <row r="17" spans="1:19" hidden="1" x14ac:dyDescent="0.25">
      <c r="A17" s="263"/>
      <c r="B17" s="224" t="s">
        <v>73</v>
      </c>
      <c r="C17" s="224"/>
      <c r="D17" s="224"/>
      <c r="E17" s="227"/>
      <c r="F17" s="227"/>
      <c r="G17" s="227"/>
      <c r="H17" s="227"/>
      <c r="I17" s="227"/>
      <c r="J17" s="227"/>
      <c r="K17" s="227"/>
      <c r="L17" s="74"/>
    </row>
    <row r="18" spans="1:19" x14ac:dyDescent="0.25">
      <c r="A18" s="263"/>
      <c r="B18" s="231"/>
      <c r="C18" s="231"/>
      <c r="D18" s="231"/>
      <c r="E18" s="232"/>
      <c r="F18" s="232"/>
      <c r="G18" s="232"/>
      <c r="H18" s="232"/>
      <c r="I18" s="232"/>
      <c r="J18" s="232"/>
      <c r="K18" s="232"/>
      <c r="L18" s="97"/>
      <c r="M18" s="98"/>
      <c r="N18" s="98"/>
      <c r="O18" s="98"/>
      <c r="P18" s="98"/>
      <c r="Q18" s="98"/>
      <c r="R18" s="98"/>
      <c r="S18" s="98"/>
    </row>
    <row r="19" spans="1:19" x14ac:dyDescent="0.25">
      <c r="A19" s="263"/>
      <c r="B19" s="225" t="s">
        <v>21</v>
      </c>
      <c r="C19" s="225"/>
      <c r="D19" s="225"/>
      <c r="E19" s="264"/>
      <c r="F19" s="264"/>
      <c r="G19" s="264"/>
      <c r="H19" s="264"/>
      <c r="I19" s="264"/>
      <c r="J19" s="264"/>
      <c r="K19" s="224"/>
      <c r="L19" s="97"/>
      <c r="M19" s="98"/>
      <c r="N19" s="98"/>
      <c r="O19" s="98"/>
      <c r="P19" s="98"/>
      <c r="Q19" s="98"/>
      <c r="R19" s="98"/>
    </row>
    <row r="20" spans="1:19" x14ac:dyDescent="0.25">
      <c r="A20" s="263"/>
      <c r="B20" s="224"/>
      <c r="C20" s="224"/>
      <c r="D20" s="224"/>
      <c r="E20" s="227"/>
      <c r="F20" s="227"/>
      <c r="G20" s="227"/>
      <c r="H20" s="227"/>
      <c r="I20" s="227"/>
      <c r="J20" s="227"/>
      <c r="K20" s="227"/>
      <c r="L20" s="74"/>
    </row>
    <row r="21" spans="1:19" x14ac:dyDescent="0.25">
      <c r="A21" s="263"/>
      <c r="B21" s="224" t="s">
        <v>22</v>
      </c>
      <c r="C21" s="224"/>
      <c r="D21" s="227">
        <f>PL!C13*0.25</f>
        <v>0</v>
      </c>
      <c r="E21" s="227">
        <f>PL!D13*0.05</f>
        <v>56.44</v>
      </c>
      <c r="F21" s="227">
        <f>PL!E13*0.05</f>
        <v>104.38</v>
      </c>
      <c r="G21" s="227">
        <f>PL!F13*0.05</f>
        <v>108.477</v>
      </c>
      <c r="H21" s="227">
        <f>PL!G13*0.05</f>
        <v>113.13567</v>
      </c>
      <c r="I21" s="227">
        <f>PL!H13*0.05</f>
        <v>117.89211450000001</v>
      </c>
      <c r="J21" s="227">
        <f>PL!I13*0.05</f>
        <v>121.39758225000001</v>
      </c>
      <c r="K21" s="227">
        <f>PL!J13*0.05</f>
        <v>123.57946136250001</v>
      </c>
      <c r="L21" s="97"/>
      <c r="M21" s="98"/>
      <c r="N21" s="98"/>
      <c r="O21" s="98"/>
      <c r="P21" s="98"/>
      <c r="Q21" s="98"/>
      <c r="R21" s="98"/>
    </row>
    <row r="22" spans="1:19" x14ac:dyDescent="0.25">
      <c r="A22" s="263"/>
      <c r="B22" s="224" t="s">
        <v>106</v>
      </c>
      <c r="C22" s="224"/>
      <c r="D22" s="227">
        <v>0</v>
      </c>
      <c r="E22" s="227">
        <v>10</v>
      </c>
      <c r="F22" s="227">
        <v>11</v>
      </c>
      <c r="G22" s="227">
        <v>12</v>
      </c>
      <c r="H22" s="227">
        <v>13</v>
      </c>
      <c r="I22" s="227">
        <v>14</v>
      </c>
      <c r="J22" s="227">
        <v>15</v>
      </c>
      <c r="K22" s="227">
        <v>16</v>
      </c>
      <c r="L22" s="97"/>
      <c r="M22" s="98"/>
      <c r="N22" s="98"/>
      <c r="O22" s="98"/>
      <c r="P22" s="98"/>
      <c r="Q22" s="98"/>
      <c r="R22" s="100" t="e">
        <f>J14,J16,J24</f>
        <v>#VALUE!</v>
      </c>
    </row>
    <row r="23" spans="1:19" x14ac:dyDescent="0.25">
      <c r="A23" s="263"/>
      <c r="B23" s="224" t="s">
        <v>23</v>
      </c>
      <c r="C23" s="224"/>
      <c r="D23" s="227"/>
      <c r="E23" s="227">
        <v>10</v>
      </c>
      <c r="F23" s="227">
        <v>11</v>
      </c>
      <c r="G23" s="227">
        <v>12</v>
      </c>
      <c r="H23" s="227">
        <v>13</v>
      </c>
      <c r="I23" s="227">
        <v>14</v>
      </c>
      <c r="J23" s="227">
        <v>15</v>
      </c>
      <c r="K23" s="227">
        <v>16</v>
      </c>
      <c r="L23" s="97"/>
    </row>
    <row r="24" spans="1:19" x14ac:dyDescent="0.25">
      <c r="A24" s="263"/>
      <c r="B24" s="224" t="s">
        <v>64</v>
      </c>
      <c r="C24" s="224"/>
      <c r="D24" s="227">
        <v>41.666666666666856</v>
      </c>
      <c r="E24" s="227">
        <v>100.00000000000006</v>
      </c>
      <c r="F24" s="227">
        <v>99.999999999999773</v>
      </c>
      <c r="G24" s="227">
        <v>99.999999999999773</v>
      </c>
      <c r="H24" s="227">
        <v>100.00000000000011</v>
      </c>
      <c r="I24" s="227">
        <v>100</v>
      </c>
      <c r="J24" s="227">
        <v>33.333333333333343</v>
      </c>
      <c r="K24" s="227">
        <f>K16-L16</f>
        <v>25.000000000000092</v>
      </c>
      <c r="L24" s="97"/>
      <c r="M24" s="98"/>
      <c r="N24" s="98"/>
      <c r="O24" s="98"/>
      <c r="P24" s="98"/>
      <c r="Q24" s="98"/>
    </row>
    <row r="25" spans="1:19" x14ac:dyDescent="0.25">
      <c r="A25" s="263"/>
      <c r="B25" s="233" t="s">
        <v>24</v>
      </c>
      <c r="C25" s="233"/>
      <c r="D25" s="234">
        <f>D21+D22+D24</f>
        <v>41.666666666666856</v>
      </c>
      <c r="E25" s="234">
        <f t="shared" ref="E25:K25" si="1">E21+E22+E24+E23</f>
        <v>176.44000000000005</v>
      </c>
      <c r="F25" s="234">
        <f t="shared" si="1"/>
        <v>226.37999999999977</v>
      </c>
      <c r="G25" s="234">
        <f t="shared" si="1"/>
        <v>232.47699999999978</v>
      </c>
      <c r="H25" s="234">
        <f t="shared" si="1"/>
        <v>239.13567000000012</v>
      </c>
      <c r="I25" s="234">
        <f t="shared" si="1"/>
        <v>245.89211449999999</v>
      </c>
      <c r="J25" s="234">
        <f t="shared" si="1"/>
        <v>184.73091558333337</v>
      </c>
      <c r="K25" s="234">
        <f t="shared" si="1"/>
        <v>180.5794613625001</v>
      </c>
      <c r="L25" s="97"/>
    </row>
    <row r="26" spans="1:19" x14ac:dyDescent="0.25">
      <c r="A26" s="263"/>
      <c r="B26" s="265"/>
      <c r="C26" s="265"/>
      <c r="D26" s="265"/>
      <c r="E26" s="265"/>
      <c r="F26" s="265"/>
      <c r="G26" s="265"/>
      <c r="H26" s="265"/>
      <c r="I26" s="265"/>
      <c r="J26" s="265"/>
      <c r="K26" s="224"/>
      <c r="L26" s="74"/>
    </row>
    <row r="27" spans="1:19" x14ac:dyDescent="0.25">
      <c r="A27" s="235"/>
      <c r="B27" s="233" t="s">
        <v>25</v>
      </c>
      <c r="C27" s="233"/>
      <c r="D27" s="234">
        <f t="shared" ref="D27:K27" si="2">+SUM(D9:D18)+D25</f>
        <v>825</v>
      </c>
      <c r="E27" s="234">
        <f t="shared" si="2"/>
        <v>1289.7733333333331</v>
      </c>
      <c r="F27" s="234">
        <f t="shared" si="2"/>
        <v>1239.7133333333331</v>
      </c>
      <c r="G27" s="234">
        <f t="shared" si="2"/>
        <v>1274.9808118333333</v>
      </c>
      <c r="H27" s="234">
        <f t="shared" si="2"/>
        <v>1404.6296087083338</v>
      </c>
      <c r="I27" s="234">
        <f t="shared" si="2"/>
        <v>1487.752360677084</v>
      </c>
      <c r="J27" s="234">
        <f t="shared" si="2"/>
        <v>1734.1664103292715</v>
      </c>
      <c r="K27" s="234">
        <f t="shared" si="2"/>
        <v>2058.742195039014</v>
      </c>
      <c r="L27" s="74"/>
    </row>
    <row r="28" spans="1:19" x14ac:dyDescent="0.25">
      <c r="A28" s="222"/>
      <c r="B28" s="222"/>
      <c r="C28" s="222"/>
      <c r="D28" s="222"/>
      <c r="E28" s="223"/>
      <c r="F28" s="236"/>
      <c r="G28" s="223"/>
      <c r="H28" s="224"/>
      <c r="I28" s="224"/>
      <c r="J28" s="224"/>
      <c r="K28" s="224"/>
      <c r="L28" s="74"/>
    </row>
    <row r="29" spans="1:19" x14ac:dyDescent="0.25">
      <c r="A29" s="263" t="s">
        <v>7</v>
      </c>
      <c r="B29" s="222" t="s">
        <v>66</v>
      </c>
      <c r="C29" s="222"/>
      <c r="D29" s="222"/>
      <c r="E29" s="223"/>
      <c r="F29" s="223"/>
      <c r="G29" s="223"/>
      <c r="H29" s="223"/>
      <c r="I29" s="223"/>
      <c r="J29" s="223"/>
      <c r="K29" s="223"/>
      <c r="L29" s="74"/>
    </row>
    <row r="30" spans="1:19" x14ac:dyDescent="0.25">
      <c r="A30" s="263"/>
      <c r="B30" s="224" t="s">
        <v>92</v>
      </c>
      <c r="C30" s="224"/>
      <c r="D30" s="237">
        <f>FA!C10</f>
        <v>825</v>
      </c>
      <c r="E30" s="237">
        <f>FA!C18</f>
        <v>825</v>
      </c>
      <c r="F30" s="237">
        <f t="shared" ref="F30:K30" si="3">E32</f>
        <v>716.85</v>
      </c>
      <c r="G30" s="237">
        <f t="shared" si="3"/>
        <v>624.92250000000001</v>
      </c>
      <c r="H30" s="237">
        <f t="shared" si="3"/>
        <v>546.78412500000002</v>
      </c>
      <c r="I30" s="237">
        <f t="shared" si="3"/>
        <v>480.36650625000004</v>
      </c>
      <c r="J30" s="237">
        <f t="shared" si="3"/>
        <v>423.91153031250002</v>
      </c>
      <c r="K30" s="237">
        <f t="shared" si="3"/>
        <v>375.92480076562504</v>
      </c>
      <c r="L30" s="74"/>
    </row>
    <row r="31" spans="1:19" x14ac:dyDescent="0.25">
      <c r="A31" s="263"/>
      <c r="B31" s="224" t="s">
        <v>13</v>
      </c>
      <c r="C31" s="224"/>
      <c r="D31" s="237">
        <v>0</v>
      </c>
      <c r="E31" s="237">
        <f>PL!D29</f>
        <v>108.15</v>
      </c>
      <c r="F31" s="237">
        <f>PL!E29</f>
        <v>91.927499999999995</v>
      </c>
      <c r="G31" s="237">
        <f>PL!F29</f>
        <v>78.138374999999996</v>
      </c>
      <c r="H31" s="237">
        <f>PL!G29</f>
        <v>66.417618750000003</v>
      </c>
      <c r="I31" s="237">
        <f>PL!H29</f>
        <v>56.454975937500002</v>
      </c>
      <c r="J31" s="237">
        <f>PL!I29</f>
        <v>47.986729546874997</v>
      </c>
      <c r="K31" s="237">
        <f>PL!J29</f>
        <v>40.788720114843755</v>
      </c>
      <c r="L31" s="74"/>
    </row>
    <row r="32" spans="1:19" x14ac:dyDescent="0.25">
      <c r="A32" s="263"/>
      <c r="B32" s="233" t="s">
        <v>93</v>
      </c>
      <c r="C32" s="233"/>
      <c r="D32" s="237">
        <f t="shared" ref="D32:K32" si="4">D30-D31</f>
        <v>825</v>
      </c>
      <c r="E32" s="237">
        <f t="shared" si="4"/>
        <v>716.85</v>
      </c>
      <c r="F32" s="237">
        <f t="shared" si="4"/>
        <v>624.92250000000001</v>
      </c>
      <c r="G32" s="237">
        <f t="shared" si="4"/>
        <v>546.78412500000002</v>
      </c>
      <c r="H32" s="237">
        <f t="shared" si="4"/>
        <v>480.36650625000004</v>
      </c>
      <c r="I32" s="237">
        <f t="shared" si="4"/>
        <v>423.91153031250002</v>
      </c>
      <c r="J32" s="237">
        <f t="shared" si="4"/>
        <v>375.92480076562504</v>
      </c>
      <c r="K32" s="237">
        <f t="shared" si="4"/>
        <v>335.13608065078131</v>
      </c>
      <c r="L32" s="74"/>
    </row>
    <row r="33" spans="1:33" x14ac:dyDescent="0.25">
      <c r="A33" s="263"/>
      <c r="B33" s="224"/>
      <c r="C33" s="224"/>
      <c r="D33" s="237"/>
      <c r="E33" s="237"/>
      <c r="F33" s="237"/>
      <c r="G33" s="237"/>
      <c r="H33" s="237"/>
      <c r="I33" s="237"/>
      <c r="J33" s="237"/>
      <c r="K33" s="237"/>
      <c r="L33" s="74"/>
    </row>
    <row r="34" spans="1:33" x14ac:dyDescent="0.25">
      <c r="A34" s="263"/>
      <c r="B34" s="224" t="s">
        <v>120</v>
      </c>
      <c r="C34" s="224"/>
      <c r="D34" s="237">
        <v>0</v>
      </c>
      <c r="E34" s="238">
        <f t="shared" ref="E34:K34" si="5">+E11-E33</f>
        <v>0</v>
      </c>
      <c r="F34" s="239">
        <f t="shared" si="5"/>
        <v>0</v>
      </c>
      <c r="G34" s="238">
        <f t="shared" si="5"/>
        <v>0</v>
      </c>
      <c r="H34" s="238">
        <f t="shared" si="5"/>
        <v>0</v>
      </c>
      <c r="I34" s="238">
        <f t="shared" si="5"/>
        <v>0</v>
      </c>
      <c r="J34" s="238">
        <f t="shared" si="5"/>
        <v>0</v>
      </c>
      <c r="K34" s="238">
        <f t="shared" si="5"/>
        <v>0</v>
      </c>
      <c r="L34" s="74"/>
    </row>
    <row r="35" spans="1:33" x14ac:dyDescent="0.25">
      <c r="A35" s="263"/>
      <c r="B35" s="224"/>
      <c r="C35" s="224"/>
      <c r="D35" s="224"/>
      <c r="E35" s="237"/>
      <c r="F35" s="237"/>
      <c r="G35" s="237"/>
      <c r="H35" s="237"/>
      <c r="I35" s="237"/>
      <c r="J35" s="237"/>
      <c r="K35" s="237"/>
      <c r="L35" s="74"/>
    </row>
    <row r="36" spans="1:33" x14ac:dyDescent="0.25">
      <c r="A36" s="263"/>
      <c r="B36" s="224"/>
      <c r="C36" s="224"/>
      <c r="D36" s="224"/>
      <c r="E36" s="237"/>
      <c r="F36" s="237"/>
      <c r="G36" s="237"/>
      <c r="H36" s="237"/>
      <c r="I36" s="237"/>
      <c r="J36" s="237"/>
      <c r="K36" s="237"/>
      <c r="L36" s="74"/>
    </row>
    <row r="37" spans="1:33" x14ac:dyDescent="0.25">
      <c r="A37" s="263"/>
      <c r="B37" s="228"/>
      <c r="C37" s="228"/>
      <c r="D37" s="228"/>
      <c r="E37" s="228"/>
      <c r="F37" s="228"/>
      <c r="G37" s="228"/>
      <c r="H37" s="228"/>
      <c r="I37" s="228"/>
      <c r="J37" s="228"/>
      <c r="K37" s="228"/>
      <c r="L37" s="74"/>
    </row>
    <row r="38" spans="1:33" x14ac:dyDescent="0.25">
      <c r="A38" s="263"/>
      <c r="B38" s="225" t="s">
        <v>27</v>
      </c>
      <c r="C38" s="225"/>
      <c r="D38" s="225"/>
      <c r="E38" s="230"/>
      <c r="F38" s="230"/>
      <c r="G38" s="230"/>
      <c r="H38" s="230"/>
      <c r="I38" s="230"/>
      <c r="J38" s="230"/>
      <c r="K38" s="230"/>
      <c r="L38" s="74"/>
    </row>
    <row r="39" spans="1:33" hidden="1" x14ac:dyDescent="0.25">
      <c r="A39" s="263"/>
      <c r="B39" s="224"/>
      <c r="C39" s="224"/>
      <c r="D39" s="224"/>
      <c r="E39" s="227"/>
      <c r="F39" s="227"/>
      <c r="G39" s="227"/>
      <c r="H39" s="227"/>
      <c r="I39" s="227"/>
      <c r="J39" s="227"/>
      <c r="K39" s="227"/>
      <c r="L39" s="74"/>
    </row>
    <row r="40" spans="1:33" hidden="1" x14ac:dyDescent="0.25">
      <c r="A40" s="263"/>
      <c r="B40" s="224"/>
      <c r="C40" s="224"/>
      <c r="D40" s="224"/>
      <c r="E40" s="227"/>
      <c r="F40" s="227"/>
      <c r="G40" s="227"/>
      <c r="H40" s="227"/>
      <c r="I40" s="227"/>
      <c r="J40" s="227"/>
      <c r="K40" s="227"/>
      <c r="L40" s="74"/>
    </row>
    <row r="41" spans="1:33" hidden="1" x14ac:dyDescent="0.25">
      <c r="A41" s="263"/>
      <c r="B41" s="224"/>
      <c r="C41" s="224"/>
      <c r="D41" s="224"/>
      <c r="E41" s="227"/>
      <c r="F41" s="227"/>
      <c r="G41" s="227"/>
      <c r="H41" s="227"/>
      <c r="I41" s="227"/>
      <c r="J41" s="227"/>
      <c r="K41" s="227"/>
      <c r="L41" s="74"/>
    </row>
    <row r="42" spans="1:33" x14ac:dyDescent="0.25">
      <c r="A42" s="263"/>
      <c r="B42" s="224" t="s">
        <v>107</v>
      </c>
      <c r="C42" s="224"/>
      <c r="D42" s="227">
        <f>PL!C8*0.1</f>
        <v>0</v>
      </c>
      <c r="E42" s="227">
        <v>260.60000000000002</v>
      </c>
      <c r="F42" s="227">
        <v>338.02119888888888</v>
      </c>
      <c r="G42" s="227">
        <v>470.53214638888903</v>
      </c>
      <c r="H42" s="227">
        <v>649.68838801388858</v>
      </c>
      <c r="I42" s="227">
        <v>737.79668967013868</v>
      </c>
      <c r="J42" s="227">
        <v>918.90044131920058</v>
      </c>
      <c r="K42" s="227">
        <v>1096.1027951481608</v>
      </c>
      <c r="L42" s="74"/>
      <c r="M42" s="98"/>
      <c r="N42" s="98"/>
      <c r="O42" s="98"/>
      <c r="P42" s="98"/>
      <c r="Q42" s="98"/>
      <c r="R42" s="98"/>
      <c r="S42" s="98"/>
      <c r="T42" s="98"/>
      <c r="U42" s="98"/>
      <c r="V42" s="98"/>
      <c r="W42" s="98"/>
      <c r="X42" s="98"/>
      <c r="Y42" s="98"/>
      <c r="Z42" s="98"/>
      <c r="AA42" s="98"/>
      <c r="AB42" s="98"/>
      <c r="AC42" s="98"/>
      <c r="AD42" s="98"/>
      <c r="AE42" s="98"/>
      <c r="AF42" s="98"/>
      <c r="AG42" s="98"/>
    </row>
    <row r="43" spans="1:33" x14ac:dyDescent="0.25">
      <c r="A43" s="263"/>
      <c r="B43" s="224" t="s">
        <v>208</v>
      </c>
      <c r="C43" s="224"/>
      <c r="D43" s="227">
        <f>Assumptions!D22/100000</f>
        <v>0</v>
      </c>
      <c r="E43" s="227">
        <f>Assumptions!E22/100000</f>
        <v>132.80000000000001</v>
      </c>
      <c r="F43" s="227">
        <f>Assumptions!F22/100000</f>
        <v>142.80000000000001</v>
      </c>
      <c r="G43" s="227">
        <f>Assumptions!G22/100000</f>
        <v>149.94</v>
      </c>
      <c r="H43" s="227">
        <f>Assumptions!H22/100000</f>
        <v>161.1414</v>
      </c>
      <c r="I43" s="227">
        <f>Assumptions!I22/100000</f>
        <v>173.08808999999999</v>
      </c>
      <c r="J43" s="227">
        <f>Assumptions!J22/100000</f>
        <v>183.78454500000001</v>
      </c>
      <c r="K43" s="227">
        <f>Assumptions!K22/100000</f>
        <v>192.97377225000002</v>
      </c>
      <c r="L43" s="74"/>
      <c r="M43" s="98"/>
      <c r="N43" s="98"/>
      <c r="O43" s="98"/>
      <c r="P43" s="98"/>
      <c r="Q43" s="98"/>
      <c r="R43" s="98"/>
      <c r="S43" s="98"/>
      <c r="T43" s="98"/>
      <c r="U43" s="98"/>
      <c r="V43" s="98"/>
      <c r="W43" s="98"/>
      <c r="X43" s="98"/>
      <c r="Y43" s="98"/>
      <c r="Z43" s="98"/>
      <c r="AA43" s="98"/>
      <c r="AB43" s="98"/>
      <c r="AC43" s="98"/>
      <c r="AD43" s="98"/>
      <c r="AE43" s="98"/>
      <c r="AF43" s="98"/>
      <c r="AG43" s="98"/>
    </row>
    <row r="44" spans="1:33" x14ac:dyDescent="0.25">
      <c r="A44" s="263"/>
      <c r="B44" s="224" t="s">
        <v>209</v>
      </c>
      <c r="C44" s="224"/>
      <c r="D44" s="227">
        <f>(Assumptions!D43+Assumptions!D70)/100000</f>
        <v>0</v>
      </c>
      <c r="E44" s="227">
        <f>(Assumptions!E43+Assumptions!E70)/100000</f>
        <v>76.8</v>
      </c>
      <c r="F44" s="227">
        <f>(Assumptions!F43+Assumptions!F70)/100000</f>
        <v>160.03800000000001</v>
      </c>
      <c r="G44" s="227">
        <f>(Assumptions!G43+Assumptions!G70)/100000</f>
        <v>167.31569999999999</v>
      </c>
      <c r="H44" s="227">
        <f>(Assumptions!H43+Assumptions!H70)/100000</f>
        <v>174.13623000000001</v>
      </c>
      <c r="I44" s="227">
        <f>(Assumptions!I43+Assumptions!I70)/100000</f>
        <v>181.14702374999999</v>
      </c>
      <c r="J44" s="227">
        <f>(Assumptions!J43+Assumptions!J70)/100000</f>
        <v>187.00983630000002</v>
      </c>
      <c r="K44" s="227">
        <f>(Assumptions!K43+Assumptions!K70)/100000</f>
        <v>191.658762545625</v>
      </c>
      <c r="L44" s="74"/>
      <c r="M44" s="98"/>
      <c r="N44" s="98"/>
      <c r="O44" s="98"/>
      <c r="P44" s="98"/>
      <c r="Q44" s="98"/>
      <c r="R44" s="98"/>
      <c r="S44" s="98"/>
      <c r="T44" s="98"/>
      <c r="U44" s="98"/>
      <c r="V44" s="98"/>
      <c r="W44" s="98"/>
      <c r="X44" s="98"/>
      <c r="Y44" s="98"/>
      <c r="Z44" s="98"/>
      <c r="AA44" s="98"/>
      <c r="AB44" s="98"/>
      <c r="AC44" s="98"/>
      <c r="AD44" s="98"/>
      <c r="AE44" s="98"/>
      <c r="AF44" s="98"/>
      <c r="AG44" s="98"/>
    </row>
    <row r="45" spans="1:33" x14ac:dyDescent="0.25">
      <c r="A45" s="263"/>
      <c r="B45" s="224" t="s">
        <v>212</v>
      </c>
      <c r="C45" s="224"/>
      <c r="D45" s="227">
        <v>0</v>
      </c>
      <c r="E45" s="227">
        <v>0</v>
      </c>
      <c r="F45" s="227">
        <v>0</v>
      </c>
      <c r="G45" s="227">
        <v>0</v>
      </c>
      <c r="H45" s="227">
        <v>0</v>
      </c>
      <c r="I45" s="227">
        <v>0</v>
      </c>
      <c r="J45" s="227">
        <v>0</v>
      </c>
      <c r="K45" s="227">
        <v>0</v>
      </c>
      <c r="L45" s="61"/>
      <c r="M45" s="98"/>
      <c r="N45" s="98"/>
      <c r="O45" s="98"/>
      <c r="P45" s="98"/>
      <c r="Q45" s="98"/>
      <c r="R45" s="98"/>
      <c r="S45" s="98"/>
    </row>
    <row r="46" spans="1:33" x14ac:dyDescent="0.25">
      <c r="A46" s="263"/>
      <c r="B46" s="224" t="s">
        <v>217</v>
      </c>
      <c r="C46" s="224"/>
      <c r="D46" s="224"/>
      <c r="E46" s="240">
        <v>130</v>
      </c>
      <c r="F46" s="240">
        <v>130</v>
      </c>
      <c r="G46" s="240">
        <v>140</v>
      </c>
      <c r="H46" s="240">
        <v>145</v>
      </c>
      <c r="I46" s="240">
        <v>150</v>
      </c>
      <c r="J46" s="240">
        <v>150</v>
      </c>
      <c r="K46" s="240">
        <v>155</v>
      </c>
      <c r="L46" s="74"/>
      <c r="M46" s="98"/>
      <c r="N46" s="98"/>
      <c r="O46" s="98"/>
      <c r="P46" s="98"/>
      <c r="Q46" s="98"/>
      <c r="R46" s="98"/>
    </row>
    <row r="47" spans="1:33" x14ac:dyDescent="0.25">
      <c r="A47" s="263"/>
      <c r="B47" s="224" t="s">
        <v>218</v>
      </c>
      <c r="C47" s="224"/>
      <c r="D47" s="241">
        <f>cfs!C29</f>
        <v>0</v>
      </c>
      <c r="E47" s="240">
        <v>10</v>
      </c>
      <c r="F47" s="240">
        <v>10</v>
      </c>
      <c r="G47" s="240">
        <v>10</v>
      </c>
      <c r="H47" s="240">
        <v>10</v>
      </c>
      <c r="I47" s="240">
        <v>10</v>
      </c>
      <c r="J47" s="240">
        <v>10</v>
      </c>
      <c r="K47" s="240">
        <v>10</v>
      </c>
      <c r="L47" s="101"/>
      <c r="M47" s="98"/>
      <c r="N47" s="98"/>
      <c r="O47" s="98"/>
      <c r="P47" s="98"/>
      <c r="Q47" s="98"/>
      <c r="R47" s="98"/>
    </row>
    <row r="48" spans="1:33" x14ac:dyDescent="0.25">
      <c r="A48" s="263"/>
      <c r="B48" s="233" t="s">
        <v>28</v>
      </c>
      <c r="C48" s="233"/>
      <c r="D48" s="234">
        <f t="shared" ref="D48:K48" si="6">SUM(D39:D47)</f>
        <v>0</v>
      </c>
      <c r="E48" s="234">
        <f t="shared" si="6"/>
        <v>610.20000000000005</v>
      </c>
      <c r="F48" s="234">
        <f t="shared" si="6"/>
        <v>780.85919888888884</v>
      </c>
      <c r="G48" s="234">
        <f t="shared" si="6"/>
        <v>937.78784638888908</v>
      </c>
      <c r="H48" s="234">
        <f t="shared" si="6"/>
        <v>1139.9660180138885</v>
      </c>
      <c r="I48" s="234">
        <f t="shared" si="6"/>
        <v>1252.0318034201387</v>
      </c>
      <c r="J48" s="234">
        <f t="shared" si="6"/>
        <v>1449.6948226192005</v>
      </c>
      <c r="K48" s="234">
        <f t="shared" si="6"/>
        <v>1645.7353299437859</v>
      </c>
      <c r="L48" s="101"/>
    </row>
    <row r="49" spans="1:12" x14ac:dyDescent="0.25">
      <c r="A49" s="235"/>
      <c r="B49" s="242" t="s">
        <v>29</v>
      </c>
      <c r="C49" s="242"/>
      <c r="D49" s="234">
        <f t="shared" ref="D49:J49" si="7">D32+D34+D48</f>
        <v>825</v>
      </c>
      <c r="E49" s="234">
        <f t="shared" si="7"/>
        <v>1327.0500000000002</v>
      </c>
      <c r="F49" s="234">
        <f t="shared" si="7"/>
        <v>1405.781698888889</v>
      </c>
      <c r="G49" s="234">
        <f t="shared" si="7"/>
        <v>1484.5719713888891</v>
      </c>
      <c r="H49" s="234">
        <f t="shared" si="7"/>
        <v>1620.3325242638884</v>
      </c>
      <c r="I49" s="234">
        <f t="shared" si="7"/>
        <v>1675.9433337326386</v>
      </c>
      <c r="J49" s="234">
        <f t="shared" si="7"/>
        <v>1825.6196233848254</v>
      </c>
      <c r="K49" s="234">
        <f>K32+K34+K48</f>
        <v>1980.8714105945674</v>
      </c>
      <c r="L49" s="74"/>
    </row>
    <row r="50" spans="1:12" x14ac:dyDescent="0.25">
      <c r="A50" s="224"/>
      <c r="B50" s="224"/>
      <c r="C50" s="224"/>
      <c r="D50" s="238">
        <f t="shared" ref="D50:K50" si="8">+D27-D49</f>
        <v>0</v>
      </c>
      <c r="E50" s="238">
        <f t="shared" si="8"/>
        <v>-37.276666666667097</v>
      </c>
      <c r="F50" s="239">
        <f t="shared" si="8"/>
        <v>-166.06836555555583</v>
      </c>
      <c r="G50" s="238">
        <f t="shared" si="8"/>
        <v>-209.59115955555581</v>
      </c>
      <c r="H50" s="238">
        <f t="shared" si="8"/>
        <v>-215.70291555555468</v>
      </c>
      <c r="I50" s="238">
        <f t="shared" si="8"/>
        <v>-188.19097305555465</v>
      </c>
      <c r="J50" s="238">
        <f t="shared" si="8"/>
        <v>-91.453213055553988</v>
      </c>
      <c r="K50" s="238">
        <f t="shared" si="8"/>
        <v>77.870784444446599</v>
      </c>
      <c r="L50" s="74"/>
    </row>
    <row r="51" spans="1:12" hidden="1" x14ac:dyDescent="0.25">
      <c r="A51" s="74"/>
      <c r="B51" s="74"/>
      <c r="C51" s="74"/>
      <c r="D51" s="74"/>
      <c r="E51" s="93">
        <f>E49-E27</f>
        <v>37.276666666667097</v>
      </c>
      <c r="F51" s="93">
        <f>F49-F27</f>
        <v>166.06836555555583</v>
      </c>
      <c r="G51" s="93">
        <f>G49-G27</f>
        <v>209.59115955555581</v>
      </c>
      <c r="H51" s="74"/>
      <c r="I51" s="74"/>
      <c r="J51" s="74"/>
      <c r="K51" s="74"/>
      <c r="L51" s="74"/>
    </row>
    <row r="52" spans="1:12" x14ac:dyDescent="0.25">
      <c r="A52" s="74"/>
      <c r="B52" s="74"/>
      <c r="C52" s="74"/>
      <c r="D52" s="74"/>
      <c r="E52" s="93" t="s">
        <v>219</v>
      </c>
      <c r="F52" s="93"/>
      <c r="G52" s="93"/>
      <c r="H52" s="93"/>
      <c r="I52" s="93"/>
      <c r="J52" s="93"/>
      <c r="K52" s="93"/>
      <c r="L52" s="74"/>
    </row>
    <row r="53" spans="1:12" x14ac:dyDescent="0.25">
      <c r="A53" s="74"/>
      <c r="B53" s="74"/>
      <c r="C53" s="74"/>
      <c r="D53" s="74"/>
      <c r="E53" s="102"/>
      <c r="F53" s="102"/>
      <c r="G53" s="102"/>
      <c r="H53" s="102"/>
      <c r="I53" s="102"/>
      <c r="J53" s="102"/>
      <c r="K53" s="102"/>
      <c r="L53" s="74"/>
    </row>
    <row r="54" spans="1:12" x14ac:dyDescent="0.25">
      <c r="E54" s="103"/>
      <c r="F54" s="104"/>
      <c r="G54" s="104"/>
      <c r="H54" s="104"/>
      <c r="I54" s="104"/>
      <c r="J54" s="104"/>
      <c r="K54" s="104"/>
    </row>
    <row r="55" spans="1:12" x14ac:dyDescent="0.25">
      <c r="E55" s="105"/>
      <c r="F55" s="106"/>
      <c r="G55" s="106"/>
      <c r="H55" s="106"/>
      <c r="I55" s="106"/>
      <c r="J55" s="106"/>
      <c r="K55" s="106"/>
    </row>
    <row r="56" spans="1:12" x14ac:dyDescent="0.25">
      <c r="E56" s="107"/>
      <c r="F56" s="107"/>
      <c r="G56" s="107"/>
      <c r="H56" s="107"/>
      <c r="I56" s="107"/>
      <c r="J56" s="107"/>
      <c r="K56" s="107"/>
    </row>
    <row r="58" spans="1:12" x14ac:dyDescent="0.25">
      <c r="H58" s="47"/>
      <c r="I58" s="47"/>
      <c r="J58" s="47"/>
      <c r="K58" s="47"/>
    </row>
    <row r="60" spans="1:12" x14ac:dyDescent="0.25">
      <c r="I60" s="108"/>
    </row>
    <row r="61" spans="1:12" x14ac:dyDescent="0.25">
      <c r="H61" s="47"/>
      <c r="I61" s="47"/>
      <c r="J61" s="47"/>
      <c r="K61" s="47"/>
    </row>
  </sheetData>
  <mergeCells count="6">
    <mergeCell ref="A29:A48"/>
    <mergeCell ref="E19:J19"/>
    <mergeCell ref="B26:J26"/>
    <mergeCell ref="A5:A6"/>
    <mergeCell ref="B5:B6"/>
    <mergeCell ref="A7:A26"/>
  </mergeCells>
  <pageMargins left="0.7" right="0.7" top="0.75" bottom="0.75" header="0.3" footer="0.3"/>
  <pageSetup scale="7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J33"/>
  <sheetViews>
    <sheetView showGridLines="0" zoomScaleNormal="100" zoomScaleSheetLayoutView="75" workbookViewId="0">
      <selection activeCell="B5" sqref="B5:J29"/>
    </sheetView>
  </sheetViews>
  <sheetFormatPr defaultColWidth="8.85546875" defaultRowHeight="15" x14ac:dyDescent="0.25"/>
  <cols>
    <col min="1" max="1" width="3.140625" style="36" customWidth="1"/>
    <col min="2" max="2" width="58.85546875" style="36" bestFit="1" customWidth="1"/>
    <col min="3" max="3" width="12.5703125" style="36" customWidth="1"/>
    <col min="4" max="10" width="12.7109375" style="36" bestFit="1" customWidth="1"/>
    <col min="11" max="16384" width="8.85546875" style="36"/>
  </cols>
  <sheetData>
    <row r="1" spans="1:10" ht="18.75" customHeight="1" x14ac:dyDescent="0.25">
      <c r="A1" s="118" t="str">
        <f>PL!$A$1</f>
        <v>SADASHIVA PSYLLIUM PRIVATE LIMITED</v>
      </c>
      <c r="B1" s="112"/>
      <c r="C1" s="112"/>
      <c r="D1" s="112"/>
      <c r="E1" s="112"/>
      <c r="F1" s="112"/>
      <c r="G1" s="112"/>
      <c r="H1" s="112"/>
      <c r="I1" s="112"/>
      <c r="J1" s="112"/>
    </row>
    <row r="2" spans="1:10" x14ac:dyDescent="0.25">
      <c r="A2" s="91"/>
      <c r="B2" s="74"/>
      <c r="C2" s="74"/>
      <c r="D2" s="74"/>
      <c r="E2" s="74"/>
      <c r="F2" s="74"/>
      <c r="G2" s="74"/>
      <c r="H2" s="74"/>
      <c r="I2" s="74"/>
      <c r="J2" s="74"/>
    </row>
    <row r="3" spans="1:10" ht="18.75" customHeight="1" x14ac:dyDescent="0.25">
      <c r="A3" s="87" t="s">
        <v>229</v>
      </c>
      <c r="B3" s="110"/>
      <c r="C3" s="110"/>
      <c r="D3" s="110"/>
      <c r="E3" s="110"/>
      <c r="F3" s="110"/>
      <c r="G3" s="110"/>
      <c r="H3" s="110"/>
      <c r="I3" s="110"/>
      <c r="J3" s="110"/>
    </row>
    <row r="4" spans="1:10" x14ac:dyDescent="0.25">
      <c r="A4" s="74"/>
      <c r="B4" s="74"/>
      <c r="C4" s="74"/>
      <c r="D4" s="74"/>
      <c r="E4" s="74"/>
      <c r="F4" s="74"/>
      <c r="G4" s="74"/>
      <c r="H4" s="74"/>
      <c r="I4" s="74"/>
      <c r="J4" s="74"/>
    </row>
    <row r="5" spans="1:10" x14ac:dyDescent="0.25">
      <c r="A5" s="268"/>
      <c r="B5" s="269" t="s">
        <v>3</v>
      </c>
      <c r="C5" s="243" t="s">
        <v>2</v>
      </c>
      <c r="D5" s="243" t="str">
        <f>PL!D5</f>
        <v>2022-23</v>
      </c>
      <c r="E5" s="243" t="str">
        <f>PL!E5</f>
        <v>2023-24</v>
      </c>
      <c r="F5" s="243" t="str">
        <f>PL!F5</f>
        <v>2024-25</v>
      </c>
      <c r="G5" s="243" t="str">
        <f>PL!G5</f>
        <v>2025-26</v>
      </c>
      <c r="H5" s="243" t="str">
        <f>PL!H5</f>
        <v>2026-27</v>
      </c>
      <c r="I5" s="243" t="str">
        <f>PL!I5</f>
        <v>2027-28</v>
      </c>
      <c r="J5" s="243" t="str">
        <f>PL!J5</f>
        <v>2028-29</v>
      </c>
    </row>
    <row r="6" spans="1:10" x14ac:dyDescent="0.25">
      <c r="A6" s="268"/>
      <c r="B6" s="269"/>
      <c r="C6" s="243" t="str">
        <f>D6</f>
        <v>(Projected)</v>
      </c>
      <c r="D6" s="243" t="str">
        <f>PL!D6</f>
        <v>(Projected)</v>
      </c>
      <c r="E6" s="243" t="str">
        <f>PL!E6</f>
        <v>(Projected)</v>
      </c>
      <c r="F6" s="243" t="str">
        <f>PL!F6</f>
        <v>(Projected)</v>
      </c>
      <c r="G6" s="243" t="str">
        <f>PL!G6</f>
        <v>(Projected)</v>
      </c>
      <c r="H6" s="243" t="str">
        <f>PL!H6</f>
        <v>(Projected)</v>
      </c>
      <c r="I6" s="243" t="str">
        <f>PL!I6</f>
        <v>(Projected)</v>
      </c>
      <c r="J6" s="243" t="str">
        <f>PL!J6</f>
        <v>(Projected)</v>
      </c>
    </row>
    <row r="7" spans="1:10" x14ac:dyDescent="0.25">
      <c r="A7" s="33"/>
      <c r="B7" s="244"/>
      <c r="C7" s="244"/>
      <c r="D7" s="244"/>
      <c r="E7" s="244"/>
      <c r="F7" s="244"/>
      <c r="G7" s="224"/>
      <c r="H7" s="224"/>
      <c r="I7" s="224"/>
      <c r="J7" s="224"/>
    </row>
    <row r="8" spans="1:10" x14ac:dyDescent="0.25">
      <c r="A8" s="33" t="s">
        <v>4</v>
      </c>
      <c r="B8" s="233" t="s">
        <v>17</v>
      </c>
      <c r="C8" s="233"/>
      <c r="D8" s="233"/>
      <c r="E8" s="224"/>
      <c r="F8" s="224"/>
      <c r="G8" s="224"/>
      <c r="H8" s="224"/>
      <c r="I8" s="224"/>
      <c r="J8" s="224"/>
    </row>
    <row r="9" spans="1:10" x14ac:dyDescent="0.25">
      <c r="A9" s="33"/>
      <c r="B9" s="245" t="s">
        <v>62</v>
      </c>
      <c r="C9" s="246">
        <f>+BS!D9-BS!C9</f>
        <v>100</v>
      </c>
      <c r="D9" s="247">
        <f>+BS!E9-BS!D9</f>
        <v>0</v>
      </c>
      <c r="E9" s="246">
        <f>+BS!F9-BS!E9</f>
        <v>0</v>
      </c>
      <c r="F9" s="246">
        <f>+BS!G9-BS!F9</f>
        <v>59.5</v>
      </c>
      <c r="G9" s="246">
        <f>+BS!H9-BS!G9</f>
        <v>0</v>
      </c>
      <c r="H9" s="246">
        <f>+BS!I9-BS!H9</f>
        <v>0</v>
      </c>
      <c r="I9" s="246">
        <f>+BS!J9-BS!I9</f>
        <v>0</v>
      </c>
      <c r="J9" s="246">
        <f>+BS!K9-BS!J9</f>
        <v>0</v>
      </c>
    </row>
    <row r="10" spans="1:10" x14ac:dyDescent="0.25">
      <c r="A10" s="33"/>
      <c r="B10" s="245" t="s">
        <v>74</v>
      </c>
      <c r="C10" s="246">
        <f>+BS!D10-BS!C10</f>
        <v>0</v>
      </c>
      <c r="D10" s="247">
        <f>+BS!E10-BS!D10</f>
        <v>0</v>
      </c>
      <c r="E10" s="246">
        <f>+BS!F10-BS!E10</f>
        <v>0</v>
      </c>
      <c r="F10" s="246">
        <f>+BS!G10-BS!F10</f>
        <v>69.670478499999945</v>
      </c>
      <c r="G10" s="246">
        <f>+BS!H10-BS!G10</f>
        <v>122.9901268750003</v>
      </c>
      <c r="H10" s="246">
        <f>+BS!I10-BS!H10</f>
        <v>176.36630746875031</v>
      </c>
      <c r="I10" s="246">
        <f>+BS!J10-BS!I10</f>
        <v>240.90858190218751</v>
      </c>
      <c r="J10" s="246">
        <f>+BS!K10-BS!J10</f>
        <v>328.72723893057571</v>
      </c>
    </row>
    <row r="11" spans="1:10" x14ac:dyDescent="0.25">
      <c r="A11" s="33"/>
      <c r="B11" s="245" t="s">
        <v>77</v>
      </c>
      <c r="C11" s="246">
        <f>BS!D15-BS!C15</f>
        <v>125</v>
      </c>
      <c r="D11" s="247">
        <f>BS!E15-BS!D15</f>
        <v>30</v>
      </c>
      <c r="E11" s="246">
        <f>BS!F15-BS!E15</f>
        <v>0</v>
      </c>
      <c r="F11" s="246">
        <f>BS!G15-BS!F15</f>
        <v>0</v>
      </c>
      <c r="G11" s="246">
        <f>BS!H15-BS!G15</f>
        <v>0</v>
      </c>
      <c r="H11" s="246">
        <f>BS!I15-BS!H15</f>
        <v>0</v>
      </c>
      <c r="I11" s="246">
        <f>BS!J15-BS!I15</f>
        <v>0</v>
      </c>
      <c r="J11" s="246">
        <f>BS!K15-BS!J15</f>
        <v>0</v>
      </c>
    </row>
    <row r="12" spans="1:10" x14ac:dyDescent="0.25">
      <c r="A12" s="33"/>
      <c r="B12" s="224" t="s">
        <v>54</v>
      </c>
      <c r="C12" s="238">
        <f>BS!D14-BS!C14</f>
        <v>0</v>
      </c>
      <c r="D12" s="248">
        <f>BS!E14-BS!D14</f>
        <v>400</v>
      </c>
      <c r="E12" s="238">
        <f>BS!F14-BS!E14</f>
        <v>0</v>
      </c>
      <c r="F12" s="238">
        <f>BS!G14-BS!F14</f>
        <v>0</v>
      </c>
      <c r="G12" s="238">
        <f>BS!H14-BS!G14</f>
        <v>100</v>
      </c>
      <c r="H12" s="238">
        <f>BS!I14-BS!H14</f>
        <v>0</v>
      </c>
      <c r="I12" s="238">
        <f>BS!J14-BS!I14</f>
        <v>100</v>
      </c>
      <c r="J12" s="238">
        <f>BS!K14-BS!J14</f>
        <v>0</v>
      </c>
    </row>
    <row r="13" spans="1:10" x14ac:dyDescent="0.25">
      <c r="A13" s="33"/>
      <c r="B13" s="224" t="s">
        <v>83</v>
      </c>
      <c r="C13" s="238">
        <f>BS!D16-BS!C16</f>
        <v>558.33333333333314</v>
      </c>
      <c r="D13" s="248"/>
      <c r="E13" s="238"/>
      <c r="F13" s="238"/>
      <c r="G13" s="238"/>
      <c r="H13" s="238"/>
      <c r="I13" s="238"/>
      <c r="J13" s="238">
        <f>BS!K16-BS!J16</f>
        <v>0</v>
      </c>
    </row>
    <row r="14" spans="1:10" x14ac:dyDescent="0.25">
      <c r="A14" s="33"/>
      <c r="B14" s="224"/>
      <c r="C14" s="224"/>
      <c r="D14" s="248"/>
      <c r="E14" s="238"/>
      <c r="F14" s="238"/>
      <c r="G14" s="238"/>
      <c r="H14" s="238"/>
      <c r="I14" s="238"/>
      <c r="J14" s="238"/>
    </row>
    <row r="15" spans="1:10" x14ac:dyDescent="0.25">
      <c r="A15" s="33"/>
      <c r="B15" s="224" t="s">
        <v>13</v>
      </c>
      <c r="C15" s="238">
        <f>PL!C29</f>
        <v>0</v>
      </c>
      <c r="D15" s="248">
        <f>PL!D29</f>
        <v>108.15</v>
      </c>
      <c r="E15" s="238">
        <f>PL!E29</f>
        <v>91.927499999999995</v>
      </c>
      <c r="F15" s="238">
        <f>PL!F29</f>
        <v>78.138374999999996</v>
      </c>
      <c r="G15" s="238">
        <f>PL!G29</f>
        <v>66.417618750000003</v>
      </c>
      <c r="H15" s="238">
        <f>PL!H29</f>
        <v>56.454975937500002</v>
      </c>
      <c r="I15" s="238">
        <f>PL!I29</f>
        <v>47.986729546874997</v>
      </c>
      <c r="J15" s="238">
        <f>PL!J29</f>
        <v>40.788720114843755</v>
      </c>
    </row>
    <row r="16" spans="1:10" x14ac:dyDescent="0.25">
      <c r="A16" s="33"/>
      <c r="B16" s="224" t="s">
        <v>63</v>
      </c>
      <c r="C16" s="238">
        <f>+(SUM(BS!C39:C46)-SUM(BS!D39:D46))+BS!D25-BS!C25</f>
        <v>41.666666666666856</v>
      </c>
      <c r="D16" s="248">
        <f>BS!E25-BS!D25</f>
        <v>134.7733333333332</v>
      </c>
      <c r="E16" s="238">
        <f>BS!F25-BS!E25</f>
        <v>49.939999999999714</v>
      </c>
      <c r="F16" s="238">
        <f>BS!G25-BS!F25</f>
        <v>6.0970000000000084</v>
      </c>
      <c r="G16" s="238">
        <f>BS!H25-BS!G25</f>
        <v>6.6586700000003418</v>
      </c>
      <c r="H16" s="238">
        <f>BS!I25-BS!H25</f>
        <v>6.7564444999998727</v>
      </c>
      <c r="I16" s="238">
        <f>BS!J25-BS!I25</f>
        <v>-61.161198916666621</v>
      </c>
      <c r="J16" s="238">
        <f>BS!K25-BS!J25</f>
        <v>-4.1514542208332728</v>
      </c>
    </row>
    <row r="17" spans="1:10" x14ac:dyDescent="0.25">
      <c r="A17" s="33"/>
      <c r="B17" s="224"/>
      <c r="C17" s="224"/>
      <c r="D17" s="249"/>
      <c r="E17" s="238"/>
      <c r="F17" s="238"/>
      <c r="G17" s="238"/>
      <c r="H17" s="238"/>
      <c r="I17" s="238"/>
      <c r="J17" s="238"/>
    </row>
    <row r="18" spans="1:10" x14ac:dyDescent="0.25">
      <c r="A18" s="33"/>
      <c r="B18" s="233" t="s">
        <v>0</v>
      </c>
      <c r="C18" s="250">
        <f t="shared" ref="C18:I18" si="0">SUM(C9:C17)</f>
        <v>825</v>
      </c>
      <c r="D18" s="251">
        <f t="shared" si="0"/>
        <v>672.92333333333318</v>
      </c>
      <c r="E18" s="250">
        <f t="shared" si="0"/>
        <v>141.86749999999972</v>
      </c>
      <c r="F18" s="250">
        <f t="shared" si="0"/>
        <v>213.40585349999995</v>
      </c>
      <c r="G18" s="250">
        <f t="shared" si="0"/>
        <v>296.06641562500067</v>
      </c>
      <c r="H18" s="250">
        <f t="shared" si="0"/>
        <v>239.57772790625017</v>
      </c>
      <c r="I18" s="250">
        <f t="shared" si="0"/>
        <v>327.7341125323959</v>
      </c>
      <c r="J18" s="250">
        <f>SUM(J9:J17)</f>
        <v>365.36450482458616</v>
      </c>
    </row>
    <row r="19" spans="1:10" x14ac:dyDescent="0.25">
      <c r="A19" s="33"/>
      <c r="B19" s="224"/>
      <c r="C19" s="224"/>
      <c r="D19" s="249"/>
      <c r="E19" s="252"/>
      <c r="F19" s="252"/>
      <c r="G19" s="224"/>
      <c r="H19" s="224"/>
      <c r="I19" s="224"/>
      <c r="J19" s="224"/>
    </row>
    <row r="20" spans="1:10" x14ac:dyDescent="0.25">
      <c r="A20" s="33" t="s">
        <v>7</v>
      </c>
      <c r="B20" s="233" t="s">
        <v>26</v>
      </c>
      <c r="C20" s="233"/>
      <c r="D20" s="253"/>
      <c r="E20" s="252"/>
      <c r="F20" s="252"/>
      <c r="G20" s="224"/>
      <c r="H20" s="224"/>
      <c r="I20" s="224"/>
      <c r="J20" s="224"/>
    </row>
    <row r="21" spans="1:10" x14ac:dyDescent="0.25">
      <c r="A21" s="33"/>
      <c r="B21" s="224" t="s">
        <v>82</v>
      </c>
      <c r="C21" s="238">
        <f>-BS!C32+BS!D30</f>
        <v>825</v>
      </c>
      <c r="D21" s="248">
        <f>-BS!D32+BS!E30</f>
        <v>0</v>
      </c>
      <c r="E21" s="238">
        <f>-BS!E32+BS!F30</f>
        <v>0</v>
      </c>
      <c r="F21" s="238">
        <f>-BS!F32+BS!G30</f>
        <v>0</v>
      </c>
      <c r="G21" s="238">
        <f>-BS!G32+BS!H30</f>
        <v>0</v>
      </c>
      <c r="H21" s="238">
        <f>-BS!H32+BS!I30</f>
        <v>0</v>
      </c>
      <c r="I21" s="238">
        <f>-BS!I32+BS!J30</f>
        <v>0</v>
      </c>
      <c r="J21" s="238">
        <f>-BS!J32+BS!K30</f>
        <v>0</v>
      </c>
    </row>
    <row r="22" spans="1:10" x14ac:dyDescent="0.25">
      <c r="A22" s="33"/>
      <c r="B22" s="224" t="s">
        <v>78</v>
      </c>
      <c r="C22" s="224"/>
      <c r="D22" s="248"/>
      <c r="E22" s="238"/>
      <c r="F22" s="238"/>
      <c r="G22" s="238"/>
      <c r="H22" s="238"/>
      <c r="I22" s="238"/>
      <c r="J22" s="238"/>
    </row>
    <row r="23" spans="1:10" x14ac:dyDescent="0.25">
      <c r="A23" s="33"/>
      <c r="B23" s="224" t="s">
        <v>108</v>
      </c>
      <c r="C23" s="238">
        <f>BS!D34-BS!C34</f>
        <v>0</v>
      </c>
      <c r="D23" s="248">
        <f>BS!E34-BS!D34</f>
        <v>0</v>
      </c>
      <c r="E23" s="238">
        <f>BS!F34-BS!E34</f>
        <v>0</v>
      </c>
      <c r="F23" s="238">
        <f>BS!G34-BS!F34</f>
        <v>0</v>
      </c>
      <c r="G23" s="238">
        <f>BS!H34-BS!G34</f>
        <v>0</v>
      </c>
      <c r="H23" s="238">
        <f>BS!I34-BS!H34</f>
        <v>0</v>
      </c>
      <c r="I23" s="238">
        <f>BS!J34-BS!I34</f>
        <v>0</v>
      </c>
      <c r="J23" s="238">
        <f>BS!K34-BS!J34</f>
        <v>0</v>
      </c>
    </row>
    <row r="24" spans="1:10" x14ac:dyDescent="0.25">
      <c r="A24" s="33"/>
      <c r="B24" s="224" t="s">
        <v>216</v>
      </c>
      <c r="C24" s="224"/>
      <c r="D24" s="247">
        <f>BS!E48</f>
        <v>610.20000000000005</v>
      </c>
      <c r="E24" s="246">
        <f>(BS!F48-BS!E48)</f>
        <v>170.6591988888888</v>
      </c>
      <c r="F24" s="246">
        <f>(BS!G48-BS!F48)</f>
        <v>156.92864750000024</v>
      </c>
      <c r="G24" s="246">
        <f>(BS!H48-BS!G48)</f>
        <v>202.17817162499944</v>
      </c>
      <c r="H24" s="246">
        <f>(BS!I48-BS!H48)</f>
        <v>112.06578540625014</v>
      </c>
      <c r="I24" s="246">
        <f>(BS!J48-BS!I48)</f>
        <v>197.66301919906186</v>
      </c>
      <c r="J24" s="246">
        <f>(BS!K48-BS!J48)</f>
        <v>196.04050732458541</v>
      </c>
    </row>
    <row r="25" spans="1:10" x14ac:dyDescent="0.25">
      <c r="A25" s="33"/>
      <c r="B25" s="233" t="s">
        <v>0</v>
      </c>
      <c r="C25" s="250">
        <f t="shared" ref="C25:I25" si="1">SUM(C21:C24)</f>
        <v>825</v>
      </c>
      <c r="D25" s="251">
        <f t="shared" si="1"/>
        <v>610.20000000000005</v>
      </c>
      <c r="E25" s="250">
        <f t="shared" si="1"/>
        <v>170.6591988888888</v>
      </c>
      <c r="F25" s="250">
        <f t="shared" si="1"/>
        <v>156.92864750000024</v>
      </c>
      <c r="G25" s="250">
        <f t="shared" si="1"/>
        <v>202.17817162499944</v>
      </c>
      <c r="H25" s="250">
        <f t="shared" si="1"/>
        <v>112.06578540625014</v>
      </c>
      <c r="I25" s="250">
        <f t="shared" si="1"/>
        <v>197.66301919906186</v>
      </c>
      <c r="J25" s="250">
        <f>SUM(J21:J24)</f>
        <v>196.04050732458541</v>
      </c>
    </row>
    <row r="26" spans="1:10" x14ac:dyDescent="0.25">
      <c r="A26" s="33"/>
      <c r="B26" s="224"/>
      <c r="C26" s="224"/>
      <c r="D26" s="247"/>
      <c r="E26" s="246"/>
      <c r="F26" s="246"/>
      <c r="G26" s="224"/>
      <c r="H26" s="224"/>
      <c r="I26" s="224"/>
      <c r="J26" s="224"/>
    </row>
    <row r="27" spans="1:10" x14ac:dyDescent="0.25">
      <c r="A27" s="33">
        <v>1</v>
      </c>
      <c r="B27" s="233" t="s">
        <v>30</v>
      </c>
      <c r="C27" s="250">
        <f>BS!C47</f>
        <v>0</v>
      </c>
      <c r="D27" s="251">
        <f>BS!D47</f>
        <v>0</v>
      </c>
      <c r="E27" s="250">
        <f>BS!E47</f>
        <v>10</v>
      </c>
      <c r="F27" s="250">
        <f>E29</f>
        <v>-18.791698888889073</v>
      </c>
      <c r="G27" s="250">
        <f>F29</f>
        <v>37.685507111110638</v>
      </c>
      <c r="H27" s="250">
        <f>G29</f>
        <v>131.57375111111187</v>
      </c>
      <c r="I27" s="250">
        <f>H29</f>
        <v>259.08569361111188</v>
      </c>
      <c r="J27" s="250">
        <f>I29</f>
        <v>389.15678694444591</v>
      </c>
    </row>
    <row r="28" spans="1:10" x14ac:dyDescent="0.25">
      <c r="A28" s="33">
        <f>+A27+1</f>
        <v>2</v>
      </c>
      <c r="B28" s="233" t="s">
        <v>31</v>
      </c>
      <c r="C28" s="250">
        <f t="shared" ref="C28:I28" si="2">+C18-C25</f>
        <v>0</v>
      </c>
      <c r="D28" s="251">
        <f t="shared" si="2"/>
        <v>62.72333333333313</v>
      </c>
      <c r="E28" s="250">
        <f t="shared" si="2"/>
        <v>-28.791698888889073</v>
      </c>
      <c r="F28" s="250">
        <f t="shared" si="2"/>
        <v>56.477205999999711</v>
      </c>
      <c r="G28" s="250">
        <f t="shared" si="2"/>
        <v>93.888244000001237</v>
      </c>
      <c r="H28" s="250">
        <f t="shared" si="2"/>
        <v>127.51194250000003</v>
      </c>
      <c r="I28" s="250">
        <f t="shared" si="2"/>
        <v>130.07109333333403</v>
      </c>
      <c r="J28" s="250">
        <f>+J18-J25</f>
        <v>169.32399750000076</v>
      </c>
    </row>
    <row r="29" spans="1:10" x14ac:dyDescent="0.25">
      <c r="A29" s="33">
        <f>+A28+1</f>
        <v>3</v>
      </c>
      <c r="B29" s="233" t="s">
        <v>32</v>
      </c>
      <c r="C29" s="250">
        <f t="shared" ref="C29:J29" si="3">C27+C28</f>
        <v>0</v>
      </c>
      <c r="D29" s="251">
        <f t="shared" si="3"/>
        <v>62.72333333333313</v>
      </c>
      <c r="E29" s="250">
        <f t="shared" si="3"/>
        <v>-18.791698888889073</v>
      </c>
      <c r="F29" s="250">
        <f t="shared" si="3"/>
        <v>37.685507111110638</v>
      </c>
      <c r="G29" s="250">
        <f t="shared" si="3"/>
        <v>131.57375111111187</v>
      </c>
      <c r="H29" s="250">
        <f t="shared" si="3"/>
        <v>259.08569361111188</v>
      </c>
      <c r="I29" s="250">
        <f t="shared" si="3"/>
        <v>389.15678694444591</v>
      </c>
      <c r="J29" s="250">
        <f t="shared" si="3"/>
        <v>558.48078444444673</v>
      </c>
    </row>
    <row r="30" spans="1:10" x14ac:dyDescent="0.25">
      <c r="A30" s="74"/>
      <c r="B30" s="74"/>
      <c r="C30" s="74"/>
      <c r="D30" s="120"/>
      <c r="E30" s="117"/>
      <c r="F30" s="117"/>
      <c r="G30" s="74"/>
      <c r="H30" s="74"/>
      <c r="I30" s="74"/>
      <c r="J30" s="74"/>
    </row>
    <row r="31" spans="1:10" x14ac:dyDescent="0.25">
      <c r="A31" s="74"/>
      <c r="B31" s="74"/>
      <c r="C31" s="116">
        <f>+BS!D47</f>
        <v>0</v>
      </c>
      <c r="D31" s="119">
        <f>+BS!E47</f>
        <v>10</v>
      </c>
      <c r="E31" s="116">
        <f>+BS!F47</f>
        <v>10</v>
      </c>
      <c r="F31" s="116">
        <f>+BS!G47</f>
        <v>10</v>
      </c>
      <c r="G31" s="116">
        <f>+BS!H47</f>
        <v>10</v>
      </c>
      <c r="H31" s="116">
        <f>+BS!I47</f>
        <v>10</v>
      </c>
      <c r="I31" s="116">
        <f>+BS!J47</f>
        <v>10</v>
      </c>
      <c r="J31" s="116">
        <f>+BS!K47</f>
        <v>10</v>
      </c>
    </row>
    <row r="32" spans="1:10" x14ac:dyDescent="0.25">
      <c r="A32" s="74"/>
      <c r="B32" s="74"/>
      <c r="C32" s="116">
        <f t="shared" ref="C32:J32" si="4">+C29-C31</f>
        <v>0</v>
      </c>
      <c r="D32" s="119">
        <f t="shared" si="4"/>
        <v>52.72333333333313</v>
      </c>
      <c r="E32" s="116">
        <f t="shared" si="4"/>
        <v>-28.791698888889073</v>
      </c>
      <c r="F32" s="116">
        <f t="shared" si="4"/>
        <v>27.685507111110638</v>
      </c>
      <c r="G32" s="116">
        <f t="shared" si="4"/>
        <v>121.57375111111187</v>
      </c>
      <c r="H32" s="99">
        <f t="shared" si="4"/>
        <v>249.08569361111188</v>
      </c>
      <c r="I32" s="99">
        <f t="shared" si="4"/>
        <v>379.15678694444591</v>
      </c>
      <c r="J32" s="99">
        <f t="shared" si="4"/>
        <v>548.48078444444673</v>
      </c>
    </row>
    <row r="33" spans="1:10" x14ac:dyDescent="0.25">
      <c r="A33" s="74"/>
      <c r="B33" s="74"/>
      <c r="C33" s="74"/>
      <c r="D33" s="74"/>
      <c r="E33" s="74"/>
      <c r="F33" s="74"/>
      <c r="G33" s="74"/>
      <c r="H33" s="74"/>
      <c r="I33" s="74"/>
      <c r="J33" s="74"/>
    </row>
  </sheetData>
  <mergeCells count="2">
    <mergeCell ref="A5:A6"/>
    <mergeCell ref="B5:B6"/>
  </mergeCells>
  <pageMargins left="0.7" right="0.7" top="0.75" bottom="0.75" header="0.3" footer="0.3"/>
  <pageSetup scale="8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31"/>
  <sheetViews>
    <sheetView showGridLines="0" topLeftCell="A19" zoomScaleNormal="100" zoomScaleSheetLayoutView="100" workbookViewId="0">
      <selection activeCell="D31" sqref="D31"/>
    </sheetView>
  </sheetViews>
  <sheetFormatPr defaultColWidth="9.140625" defaultRowHeight="15" x14ac:dyDescent="0.25"/>
  <cols>
    <col min="1" max="1" width="6.28515625" style="30" customWidth="1"/>
    <col min="2" max="2" width="38" style="30" customWidth="1"/>
    <col min="3" max="3" width="8.140625" style="30" customWidth="1"/>
    <col min="4" max="4" width="12.7109375" style="30" customWidth="1"/>
    <col min="5" max="7" width="14.42578125" style="30" customWidth="1"/>
    <col min="8" max="10" width="12.28515625" style="30" bestFit="1" customWidth="1"/>
    <col min="11" max="11" width="12.28515625" style="30" customWidth="1"/>
    <col min="12" max="16384" width="9.140625" style="30"/>
  </cols>
  <sheetData>
    <row r="1" spans="1:11" ht="20.25" customHeight="1" x14ac:dyDescent="0.25">
      <c r="A1" s="111" t="str">
        <f>PL!$A$1</f>
        <v>SADASHIVA PSYLLIUM PRIVATE LIMITED</v>
      </c>
      <c r="B1" s="115"/>
      <c r="C1" s="115"/>
      <c r="D1" s="115"/>
      <c r="E1" s="115"/>
      <c r="F1" s="115"/>
      <c r="G1" s="115"/>
      <c r="H1" s="115"/>
      <c r="I1" s="115"/>
      <c r="J1" s="115"/>
      <c r="K1" s="115"/>
    </row>
    <row r="2" spans="1:11" ht="10.5" customHeight="1" x14ac:dyDescent="0.25">
      <c r="A2" s="29"/>
      <c r="B2" s="29"/>
      <c r="C2" s="29"/>
      <c r="D2" s="29"/>
      <c r="E2" s="29"/>
      <c r="F2" s="29"/>
      <c r="G2" s="29"/>
      <c r="H2" s="29"/>
      <c r="I2" s="29"/>
      <c r="J2" s="29"/>
      <c r="K2" s="29"/>
    </row>
    <row r="3" spans="1:11" x14ac:dyDescent="0.25">
      <c r="A3" s="125" t="s">
        <v>65</v>
      </c>
      <c r="B3" s="110"/>
      <c r="C3" s="110"/>
      <c r="D3" s="110"/>
      <c r="E3" s="110"/>
      <c r="F3" s="110"/>
      <c r="G3" s="110"/>
      <c r="H3" s="110"/>
      <c r="I3" s="110"/>
      <c r="J3" s="125" t="str">
        <f>BS!K4</f>
        <v>Amount in Lacs</v>
      </c>
      <c r="K3" s="110"/>
    </row>
    <row r="4" spans="1:11" x14ac:dyDescent="0.25">
      <c r="A4" s="270" t="s">
        <v>33</v>
      </c>
      <c r="B4" s="271" t="s">
        <v>3</v>
      </c>
      <c r="C4" s="271" t="s">
        <v>34</v>
      </c>
      <c r="D4" s="254" t="str">
        <f>BS!D5</f>
        <v>2021-22</v>
      </c>
      <c r="E4" s="254" t="str">
        <f>BS!E5</f>
        <v>2022-23</v>
      </c>
      <c r="F4" s="254" t="str">
        <f>BS!F5</f>
        <v>2023-24</v>
      </c>
      <c r="G4" s="254" t="str">
        <f>BS!G5</f>
        <v>2024-25</v>
      </c>
      <c r="H4" s="254" t="str">
        <f>BS!H5</f>
        <v>2025-26</v>
      </c>
      <c r="I4" s="254" t="str">
        <f>BS!I5</f>
        <v>2026-27</v>
      </c>
      <c r="J4" s="254" t="str">
        <f>BS!J5</f>
        <v>2027-28</v>
      </c>
      <c r="K4" s="254" t="str">
        <f>BS!K5</f>
        <v>2028-29</v>
      </c>
    </row>
    <row r="5" spans="1:11" x14ac:dyDescent="0.25">
      <c r="A5" s="270"/>
      <c r="B5" s="271"/>
      <c r="C5" s="272"/>
      <c r="D5" s="254" t="str">
        <f>BS!D6</f>
        <v>(Projected)</v>
      </c>
      <c r="E5" s="254" t="str">
        <f>BS!E6</f>
        <v>(Projected)</v>
      </c>
      <c r="F5" s="254" t="str">
        <f>BS!F6</f>
        <v>(Projected)</v>
      </c>
      <c r="G5" s="254" t="str">
        <f>BS!G6</f>
        <v>(Projected)</v>
      </c>
      <c r="H5" s="254" t="str">
        <f>BS!H6</f>
        <v>(Projected)</v>
      </c>
      <c r="I5" s="254" t="str">
        <f>BS!I6</f>
        <v>(Projected)</v>
      </c>
      <c r="J5" s="254" t="str">
        <f>BS!J6</f>
        <v>(Projected)</v>
      </c>
      <c r="K5" s="254" t="str">
        <f>BS!K6</f>
        <v>(Projected)</v>
      </c>
    </row>
    <row r="6" spans="1:11" x14ac:dyDescent="0.25">
      <c r="A6" s="57"/>
      <c r="B6" s="18" t="s">
        <v>35</v>
      </c>
      <c r="C6" s="255"/>
      <c r="D6" s="255"/>
      <c r="E6" s="255"/>
      <c r="F6" s="255"/>
      <c r="G6" s="255"/>
      <c r="H6" s="255"/>
      <c r="I6" s="255"/>
      <c r="J6" s="255"/>
      <c r="K6" s="256"/>
    </row>
    <row r="7" spans="1:11" x14ac:dyDescent="0.25">
      <c r="A7" s="59" t="s">
        <v>84</v>
      </c>
      <c r="B7" s="224" t="s">
        <v>210</v>
      </c>
      <c r="C7" s="257">
        <v>0.25</v>
      </c>
      <c r="D7" s="246">
        <f>BS!D43</f>
        <v>0</v>
      </c>
      <c r="E7" s="246">
        <f>BS!E43</f>
        <v>132.80000000000001</v>
      </c>
      <c r="F7" s="246">
        <f>BS!F43</f>
        <v>142.80000000000001</v>
      </c>
      <c r="G7" s="246">
        <f>BS!G43</f>
        <v>149.94</v>
      </c>
      <c r="H7" s="246">
        <f>BS!H43</f>
        <v>161.1414</v>
      </c>
      <c r="I7" s="246">
        <f>BS!I43</f>
        <v>173.08808999999999</v>
      </c>
      <c r="J7" s="246">
        <f>BS!J43</f>
        <v>183.78454500000001</v>
      </c>
      <c r="K7" s="246">
        <f>BS!K43</f>
        <v>192.97377225000002</v>
      </c>
    </row>
    <row r="8" spans="1:11" x14ac:dyDescent="0.25">
      <c r="A8" s="59" t="s">
        <v>85</v>
      </c>
      <c r="B8" s="224" t="s">
        <v>211</v>
      </c>
      <c r="C8" s="257">
        <v>0.25</v>
      </c>
      <c r="D8" s="246">
        <f>BS!D44</f>
        <v>0</v>
      </c>
      <c r="E8" s="246">
        <f>BS!E44</f>
        <v>76.8</v>
      </c>
      <c r="F8" s="246">
        <f>BS!F44</f>
        <v>160.03800000000001</v>
      </c>
      <c r="G8" s="246">
        <f>BS!G44</f>
        <v>167.31569999999999</v>
      </c>
      <c r="H8" s="246">
        <f>BS!H44</f>
        <v>174.13623000000001</v>
      </c>
      <c r="I8" s="246">
        <f>BS!I44</f>
        <v>181.14702374999999</v>
      </c>
      <c r="J8" s="246">
        <f>BS!J44</f>
        <v>187.00983630000002</v>
      </c>
      <c r="K8" s="246">
        <f>BS!K44</f>
        <v>191.658762545625</v>
      </c>
    </row>
    <row r="9" spans="1:11" x14ac:dyDescent="0.25">
      <c r="A9" s="121">
        <v>2</v>
      </c>
      <c r="B9" s="224" t="s">
        <v>36</v>
      </c>
      <c r="C9" s="257">
        <v>0.25</v>
      </c>
      <c r="D9" s="246">
        <f>BS!D42</f>
        <v>0</v>
      </c>
      <c r="E9" s="246">
        <f>BS!E42</f>
        <v>260.60000000000002</v>
      </c>
      <c r="F9" s="246">
        <f>BS!F42</f>
        <v>338.02119888888888</v>
      </c>
      <c r="G9" s="246">
        <f>BS!G42</f>
        <v>470.53214638888903</v>
      </c>
      <c r="H9" s="246">
        <f>BS!H42</f>
        <v>649.68838801388858</v>
      </c>
      <c r="I9" s="246">
        <f>BS!I42</f>
        <v>737.79668967013868</v>
      </c>
      <c r="J9" s="246">
        <f>BS!J42</f>
        <v>918.90044131920058</v>
      </c>
      <c r="K9" s="246">
        <f>BS!K42</f>
        <v>1096.1027951481608</v>
      </c>
    </row>
    <row r="10" spans="1:11" s="36" customFormat="1" x14ac:dyDescent="0.25">
      <c r="A10" s="121">
        <f>+A9+1</f>
        <v>3</v>
      </c>
      <c r="B10" s="224" t="s">
        <v>50</v>
      </c>
      <c r="C10" s="257">
        <v>0.25</v>
      </c>
      <c r="D10" s="246">
        <f>BS!D45</f>
        <v>0</v>
      </c>
      <c r="E10" s="246">
        <f>BS!E46</f>
        <v>130</v>
      </c>
      <c r="F10" s="246">
        <f>BS!F46</f>
        <v>130</v>
      </c>
      <c r="G10" s="246">
        <f>BS!G46</f>
        <v>140</v>
      </c>
      <c r="H10" s="246">
        <f>BS!H46</f>
        <v>145</v>
      </c>
      <c r="I10" s="246">
        <f>BS!I46</f>
        <v>150</v>
      </c>
      <c r="J10" s="246">
        <f>BS!J46</f>
        <v>150</v>
      </c>
      <c r="K10" s="246">
        <f>BS!K46</f>
        <v>155</v>
      </c>
    </row>
    <row r="11" spans="1:11" s="36" customFormat="1" x14ac:dyDescent="0.25">
      <c r="A11" s="121">
        <f>+A10+1</f>
        <v>4</v>
      </c>
      <c r="B11" s="224" t="s">
        <v>37</v>
      </c>
      <c r="C11" s="257">
        <v>0.25</v>
      </c>
      <c r="D11" s="246">
        <f>BS!D47</f>
        <v>0</v>
      </c>
      <c r="E11" s="246">
        <f>BS!E47</f>
        <v>10</v>
      </c>
      <c r="F11" s="246">
        <f>BS!F47</f>
        <v>10</v>
      </c>
      <c r="G11" s="246">
        <f>BS!G47</f>
        <v>10</v>
      </c>
      <c r="H11" s="246">
        <f>BS!H47</f>
        <v>10</v>
      </c>
      <c r="I11" s="246">
        <f>BS!I47</f>
        <v>10</v>
      </c>
      <c r="J11" s="246">
        <f>BS!J47</f>
        <v>10</v>
      </c>
      <c r="K11" s="246">
        <f>BS!K47</f>
        <v>10</v>
      </c>
    </row>
    <row r="12" spans="1:11" x14ac:dyDescent="0.25">
      <c r="A12" s="33"/>
      <c r="B12" s="233" t="s">
        <v>38</v>
      </c>
      <c r="C12" s="233"/>
      <c r="D12" s="250">
        <f t="shared" ref="D12:J12" si="0">SUM(D7:D11)</f>
        <v>0</v>
      </c>
      <c r="E12" s="250">
        <f t="shared" si="0"/>
        <v>610.20000000000005</v>
      </c>
      <c r="F12" s="250">
        <f t="shared" si="0"/>
        <v>780.85919888888884</v>
      </c>
      <c r="G12" s="250">
        <f t="shared" si="0"/>
        <v>937.78784638888897</v>
      </c>
      <c r="H12" s="250">
        <f t="shared" si="0"/>
        <v>1139.9660180138885</v>
      </c>
      <c r="I12" s="250">
        <f t="shared" si="0"/>
        <v>1252.0318034201387</v>
      </c>
      <c r="J12" s="250">
        <f t="shared" si="0"/>
        <v>1449.6948226192007</v>
      </c>
      <c r="K12" s="250">
        <f>SUM(K7:K11)</f>
        <v>1645.7353299437859</v>
      </c>
    </row>
    <row r="13" spans="1:11" x14ac:dyDescent="0.25">
      <c r="A13" s="91"/>
      <c r="B13" s="222"/>
      <c r="C13" s="222"/>
      <c r="D13" s="222"/>
      <c r="E13" s="222"/>
      <c r="F13" s="222"/>
      <c r="G13" s="222"/>
      <c r="H13" s="222"/>
      <c r="I13" s="222"/>
      <c r="J13" s="222"/>
      <c r="K13" s="256"/>
    </row>
    <row r="14" spans="1:11" x14ac:dyDescent="0.25">
      <c r="A14" s="33"/>
      <c r="B14" s="233" t="s">
        <v>39</v>
      </c>
      <c r="C14" s="222"/>
      <c r="D14" s="222"/>
      <c r="E14" s="222"/>
      <c r="F14" s="222"/>
      <c r="G14" s="222"/>
      <c r="H14" s="222"/>
      <c r="I14" s="222"/>
      <c r="J14" s="222"/>
      <c r="K14" s="256"/>
    </row>
    <row r="15" spans="1:11" x14ac:dyDescent="0.25">
      <c r="A15" s="121">
        <f>+A11+1</f>
        <v>5</v>
      </c>
      <c r="B15" s="224" t="s">
        <v>22</v>
      </c>
      <c r="C15" s="224"/>
      <c r="D15" s="246">
        <f>BS!D21</f>
        <v>0</v>
      </c>
      <c r="E15" s="246">
        <f>BS!E21</f>
        <v>56.44</v>
      </c>
      <c r="F15" s="246">
        <f>BS!F21</f>
        <v>104.38</v>
      </c>
      <c r="G15" s="246">
        <f>BS!G21</f>
        <v>108.477</v>
      </c>
      <c r="H15" s="246">
        <f>BS!H21</f>
        <v>113.13567</v>
      </c>
      <c r="I15" s="246">
        <f>BS!I21</f>
        <v>117.89211450000001</v>
      </c>
      <c r="J15" s="246">
        <f>BS!J21</f>
        <v>121.39758225000001</v>
      </c>
      <c r="K15" s="246">
        <f>BS!K21</f>
        <v>123.57946136250001</v>
      </c>
    </row>
    <row r="16" spans="1:11" x14ac:dyDescent="0.25">
      <c r="A16" s="121">
        <f>+A15+1</f>
        <v>6</v>
      </c>
      <c r="B16" s="224" t="s">
        <v>40</v>
      </c>
      <c r="C16" s="224"/>
      <c r="D16" s="246"/>
      <c r="E16" s="246"/>
      <c r="F16" s="246"/>
      <c r="G16" s="246"/>
      <c r="H16" s="246"/>
      <c r="I16" s="246"/>
      <c r="J16" s="246"/>
      <c r="K16" s="246"/>
    </row>
    <row r="17" spans="1:11" x14ac:dyDescent="0.25">
      <c r="A17" s="121">
        <f>+A16+1</f>
        <v>7</v>
      </c>
      <c r="B17" s="224" t="s">
        <v>64</v>
      </c>
      <c r="C17" s="224"/>
      <c r="D17" s="246"/>
      <c r="E17" s="246"/>
      <c r="F17" s="246"/>
      <c r="G17" s="246"/>
      <c r="H17" s="246"/>
      <c r="I17" s="246"/>
      <c r="J17" s="246"/>
      <c r="K17" s="246">
        <v>0</v>
      </c>
    </row>
    <row r="18" spans="1:11" x14ac:dyDescent="0.25">
      <c r="A18" s="121">
        <f>+A17+1</f>
        <v>8</v>
      </c>
      <c r="B18" s="256" t="s">
        <v>41</v>
      </c>
      <c r="C18" s="256"/>
      <c r="D18" s="258">
        <f>+BS!D14</f>
        <v>0</v>
      </c>
      <c r="E18" s="258">
        <v>400</v>
      </c>
      <c r="F18" s="258">
        <v>400</v>
      </c>
      <c r="G18" s="258">
        <v>400</v>
      </c>
      <c r="H18" s="258">
        <v>500</v>
      </c>
      <c r="I18" s="258">
        <v>600</v>
      </c>
      <c r="J18" s="258">
        <v>600</v>
      </c>
      <c r="K18" s="258">
        <v>700</v>
      </c>
    </row>
    <row r="19" spans="1:11" x14ac:dyDescent="0.25">
      <c r="A19" s="57">
        <f>+A18+1</f>
        <v>9</v>
      </c>
      <c r="B19" s="18" t="s">
        <v>42</v>
      </c>
      <c r="C19" s="18"/>
      <c r="D19" s="250">
        <f>SUM(D15:D18)</f>
        <v>0</v>
      </c>
      <c r="E19" s="250">
        <f t="shared" ref="E19:J19" si="1">SUM(E15:E18)</f>
        <v>456.44</v>
      </c>
      <c r="F19" s="250">
        <f t="shared" si="1"/>
        <v>504.38</v>
      </c>
      <c r="G19" s="250">
        <f t="shared" si="1"/>
        <v>508.47699999999998</v>
      </c>
      <c r="H19" s="250">
        <f t="shared" si="1"/>
        <v>613.13567</v>
      </c>
      <c r="I19" s="250">
        <f t="shared" si="1"/>
        <v>717.89211450000005</v>
      </c>
      <c r="J19" s="250">
        <f t="shared" si="1"/>
        <v>721.39758225000003</v>
      </c>
      <c r="K19" s="250">
        <f>SUM(K15:K18)</f>
        <v>823.57946136250007</v>
      </c>
    </row>
    <row r="20" spans="1:11" x14ac:dyDescent="0.25">
      <c r="A20" s="56"/>
      <c r="B20" s="255"/>
      <c r="C20" s="255"/>
      <c r="D20" s="255"/>
      <c r="E20" s="255"/>
      <c r="F20" s="255"/>
      <c r="G20" s="255"/>
      <c r="H20" s="255"/>
      <c r="I20" s="255"/>
      <c r="J20" s="255"/>
      <c r="K20" s="256"/>
    </row>
    <row r="21" spans="1:11" x14ac:dyDescent="0.25">
      <c r="A21" s="57">
        <f>+A19+1</f>
        <v>10</v>
      </c>
      <c r="B21" s="18" t="s">
        <v>43</v>
      </c>
      <c r="C21" s="18"/>
      <c r="D21" s="250">
        <f>+D12-SUM(D15:D17)</f>
        <v>0</v>
      </c>
      <c r="E21" s="250">
        <f>+E12-SUM(E15:E16)</f>
        <v>553.76</v>
      </c>
      <c r="F21" s="250">
        <f t="shared" ref="F21:K21" si="2">+F12-SUM(F15:F17)</f>
        <v>676.47919888888885</v>
      </c>
      <c r="G21" s="250">
        <f t="shared" si="2"/>
        <v>829.31084638888899</v>
      </c>
      <c r="H21" s="250">
        <f t="shared" si="2"/>
        <v>1026.8303480138884</v>
      </c>
      <c r="I21" s="250">
        <f t="shared" si="2"/>
        <v>1134.1396889201387</v>
      </c>
      <c r="J21" s="250">
        <f t="shared" si="2"/>
        <v>1328.2972403692008</v>
      </c>
      <c r="K21" s="250">
        <f t="shared" si="2"/>
        <v>1522.1558685812859</v>
      </c>
    </row>
    <row r="22" spans="1:11" x14ac:dyDescent="0.25">
      <c r="A22" s="57">
        <f>+A21+1</f>
        <v>11</v>
      </c>
      <c r="B22" s="18" t="s">
        <v>44</v>
      </c>
      <c r="C22" s="18"/>
      <c r="D22" s="250">
        <f>D12*0.25</f>
        <v>0</v>
      </c>
      <c r="E22" s="250">
        <f>E12*0.25</f>
        <v>152.55000000000001</v>
      </c>
      <c r="F22" s="250">
        <f t="shared" ref="F22:K22" si="3">F12*0.25</f>
        <v>195.21479972222221</v>
      </c>
      <c r="G22" s="250">
        <f t="shared" si="3"/>
        <v>234.44696159722224</v>
      </c>
      <c r="H22" s="250">
        <f t="shared" si="3"/>
        <v>284.99150450347213</v>
      </c>
      <c r="I22" s="250">
        <f t="shared" si="3"/>
        <v>313.00795085503466</v>
      </c>
      <c r="J22" s="250">
        <f t="shared" si="3"/>
        <v>362.42370565480019</v>
      </c>
      <c r="K22" s="250">
        <f t="shared" si="3"/>
        <v>411.43383248594648</v>
      </c>
    </row>
    <row r="23" spans="1:11" ht="14.45" customHeight="1" x14ac:dyDescent="0.25">
      <c r="A23" s="57">
        <f>+A22+1</f>
        <v>12</v>
      </c>
      <c r="B23" s="259" t="s">
        <v>45</v>
      </c>
      <c r="C23" s="18"/>
      <c r="D23" s="250">
        <f>+D12-D19</f>
        <v>0</v>
      </c>
      <c r="E23" s="250">
        <f>+E12-E19</f>
        <v>153.76000000000005</v>
      </c>
      <c r="F23" s="250">
        <f t="shared" ref="F23:K23" si="4">+F12-F19</f>
        <v>276.47919888888885</v>
      </c>
      <c r="G23" s="250">
        <f t="shared" si="4"/>
        <v>429.31084638888899</v>
      </c>
      <c r="H23" s="250">
        <f t="shared" si="4"/>
        <v>526.83034801388851</v>
      </c>
      <c r="I23" s="250">
        <f t="shared" si="4"/>
        <v>534.13968892013861</v>
      </c>
      <c r="J23" s="250">
        <f t="shared" si="4"/>
        <v>728.29724036920072</v>
      </c>
      <c r="K23" s="250">
        <f t="shared" si="4"/>
        <v>822.15586858128586</v>
      </c>
    </row>
    <row r="24" spans="1:11" x14ac:dyDescent="0.25">
      <c r="A24" s="57">
        <f>+A23+1</f>
        <v>13</v>
      </c>
      <c r="B24" s="18" t="s">
        <v>75</v>
      </c>
      <c r="C24" s="18"/>
      <c r="D24" s="250">
        <f>+D21-D22</f>
        <v>0</v>
      </c>
      <c r="E24" s="250">
        <f>+E21-E22</f>
        <v>401.21</v>
      </c>
      <c r="F24" s="250">
        <f t="shared" ref="F24:K24" si="5">+F21-F22</f>
        <v>481.26439916666664</v>
      </c>
      <c r="G24" s="250">
        <f t="shared" si="5"/>
        <v>594.86388479166681</v>
      </c>
      <c r="H24" s="250">
        <f t="shared" si="5"/>
        <v>741.83884351041627</v>
      </c>
      <c r="I24" s="250">
        <f t="shared" si="5"/>
        <v>821.13173806510406</v>
      </c>
      <c r="J24" s="250">
        <f t="shared" si="5"/>
        <v>965.87353471440065</v>
      </c>
      <c r="K24" s="250">
        <f t="shared" si="5"/>
        <v>1110.7220360953393</v>
      </c>
    </row>
    <row r="25" spans="1:11" x14ac:dyDescent="0.25">
      <c r="A25" s="57">
        <f>+A24+1</f>
        <v>14</v>
      </c>
      <c r="B25" s="18" t="s">
        <v>76</v>
      </c>
      <c r="C25" s="18"/>
      <c r="D25" s="250">
        <f>D21-D23</f>
        <v>0</v>
      </c>
      <c r="E25" s="250">
        <f>E21-E23</f>
        <v>399.99999999999994</v>
      </c>
      <c r="F25" s="250">
        <f t="shared" ref="F25:K25" si="6">F21-F23</f>
        <v>400</v>
      </c>
      <c r="G25" s="250">
        <f t="shared" si="6"/>
        <v>400</v>
      </c>
      <c r="H25" s="250">
        <f t="shared" si="6"/>
        <v>499.99999999999989</v>
      </c>
      <c r="I25" s="250">
        <f t="shared" si="6"/>
        <v>600.00000000000011</v>
      </c>
      <c r="J25" s="250">
        <f t="shared" si="6"/>
        <v>600.00000000000011</v>
      </c>
      <c r="K25" s="250">
        <f t="shared" si="6"/>
        <v>700</v>
      </c>
    </row>
    <row r="26" spans="1:11" x14ac:dyDescent="0.25">
      <c r="A26" s="57">
        <f>+A25+1</f>
        <v>15</v>
      </c>
      <c r="B26" s="18" t="s">
        <v>46</v>
      </c>
      <c r="C26" s="18"/>
      <c r="D26" s="250">
        <f>+MIN(D24,D25)</f>
        <v>0</v>
      </c>
      <c r="E26" s="250">
        <f>+MIN(E24,E25)</f>
        <v>399.99999999999994</v>
      </c>
      <c r="F26" s="250">
        <f t="shared" ref="F26:K26" si="7">+MIN(F24,F25)</f>
        <v>400</v>
      </c>
      <c r="G26" s="250">
        <f t="shared" si="7"/>
        <v>400</v>
      </c>
      <c r="H26" s="250">
        <f t="shared" si="7"/>
        <v>499.99999999999989</v>
      </c>
      <c r="I26" s="250">
        <f t="shared" si="7"/>
        <v>600.00000000000011</v>
      </c>
      <c r="J26" s="250">
        <f t="shared" si="7"/>
        <v>600.00000000000011</v>
      </c>
      <c r="K26" s="250">
        <f t="shared" si="7"/>
        <v>700</v>
      </c>
    </row>
    <row r="28" spans="1:11" x14ac:dyDescent="0.25">
      <c r="E28" s="122"/>
    </row>
    <row r="29" spans="1:11" x14ac:dyDescent="0.25">
      <c r="B29" s="123"/>
      <c r="E29" s="124"/>
      <c r="F29" s="122"/>
    </row>
    <row r="30" spans="1:11" x14ac:dyDescent="0.25">
      <c r="E30" s="124"/>
    </row>
    <row r="31" spans="1:11" x14ac:dyDescent="0.25">
      <c r="B31" s="1" t="s">
        <v>293</v>
      </c>
      <c r="D31" s="205" t="s">
        <v>248</v>
      </c>
      <c r="E31" s="206">
        <f t="shared" ref="E31:K31" si="8">E12/E19</f>
        <v>1.3368679344492158</v>
      </c>
      <c r="F31" s="206">
        <f t="shared" si="8"/>
        <v>1.5481565464310418</v>
      </c>
      <c r="G31" s="206">
        <f t="shared" si="8"/>
        <v>1.8443073066999864</v>
      </c>
      <c r="H31" s="206">
        <f t="shared" si="8"/>
        <v>1.859239437193221</v>
      </c>
      <c r="I31" s="206">
        <f t="shared" si="8"/>
        <v>1.744038941411354</v>
      </c>
      <c r="J31" s="206">
        <f t="shared" si="8"/>
        <v>2.0095642933785292</v>
      </c>
      <c r="K31" s="206">
        <f t="shared" si="8"/>
        <v>1.9982714566741877</v>
      </c>
    </row>
  </sheetData>
  <mergeCells count="3">
    <mergeCell ref="A4:A5"/>
    <mergeCell ref="B4:B5"/>
    <mergeCell ref="C4:C5"/>
  </mergeCells>
  <pageMargins left="0.7" right="0.7" top="0.75" bottom="0.75" header="0.3" footer="0.3"/>
  <pageSetup scale="8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H10"/>
  <sheetViews>
    <sheetView showGridLines="0" workbookViewId="0">
      <selection activeCell="A7" sqref="A7"/>
    </sheetView>
  </sheetViews>
  <sheetFormatPr defaultRowHeight="15" x14ac:dyDescent="0.25"/>
  <cols>
    <col min="1" max="1" width="36.42578125" style="30" customWidth="1"/>
    <col min="2" max="8" width="10.85546875" style="30" bestFit="1" customWidth="1"/>
    <col min="9" max="16384" width="9.140625" style="30"/>
  </cols>
  <sheetData>
    <row r="2" spans="1:8" x14ac:dyDescent="0.25">
      <c r="A2" s="30" t="s">
        <v>50</v>
      </c>
      <c r="B2" s="30" t="s">
        <v>225</v>
      </c>
    </row>
    <row r="3" spans="1:8" x14ac:dyDescent="0.25">
      <c r="A3" s="126"/>
      <c r="B3" s="127" t="s">
        <v>56</v>
      </c>
      <c r="C3" s="127" t="s">
        <v>59</v>
      </c>
      <c r="D3" s="127" t="s">
        <v>60</v>
      </c>
      <c r="E3" s="127" t="s">
        <v>61</v>
      </c>
      <c r="F3" s="127" t="s">
        <v>79</v>
      </c>
      <c r="G3" s="127" t="s">
        <v>81</v>
      </c>
      <c r="H3" s="127" t="s">
        <v>168</v>
      </c>
    </row>
    <row r="4" spans="1:8" x14ac:dyDescent="0.25">
      <c r="A4" s="126"/>
      <c r="B4" s="127" t="s">
        <v>57</v>
      </c>
      <c r="C4" s="127" t="s">
        <v>57</v>
      </c>
      <c r="D4" s="127" t="s">
        <v>57</v>
      </c>
      <c r="E4" s="127" t="s">
        <v>57</v>
      </c>
      <c r="F4" s="127" t="s">
        <v>57</v>
      </c>
      <c r="G4" s="127" t="s">
        <v>57</v>
      </c>
      <c r="H4" s="127" t="s">
        <v>57</v>
      </c>
    </row>
    <row r="5" spans="1:8" ht="30" x14ac:dyDescent="0.25">
      <c r="A5" s="128" t="s">
        <v>224</v>
      </c>
      <c r="B5" s="30">
        <v>95</v>
      </c>
      <c r="C5" s="30">
        <v>75</v>
      </c>
      <c r="D5" s="30">
        <v>80</v>
      </c>
      <c r="E5" s="30">
        <v>80</v>
      </c>
      <c r="F5" s="30">
        <v>80</v>
      </c>
      <c r="G5" s="30">
        <v>80</v>
      </c>
      <c r="H5" s="30">
        <v>80</v>
      </c>
    </row>
    <row r="6" spans="1:8" x14ac:dyDescent="0.25">
      <c r="A6" s="30" t="s">
        <v>226</v>
      </c>
      <c r="B6" s="30">
        <v>5</v>
      </c>
      <c r="C6" s="30">
        <v>15</v>
      </c>
      <c r="D6" s="30">
        <v>20</v>
      </c>
      <c r="E6" s="30">
        <v>20</v>
      </c>
      <c r="F6" s="30">
        <v>20</v>
      </c>
      <c r="G6" s="30">
        <v>20</v>
      </c>
      <c r="H6" s="30">
        <v>25</v>
      </c>
    </row>
    <row r="7" spans="1:8" x14ac:dyDescent="0.25">
      <c r="A7" s="30" t="s">
        <v>227</v>
      </c>
      <c r="B7" s="30">
        <v>30</v>
      </c>
      <c r="C7" s="30">
        <v>40</v>
      </c>
      <c r="D7" s="30">
        <v>40</v>
      </c>
      <c r="E7" s="30">
        <v>45</v>
      </c>
      <c r="F7" s="30">
        <v>50</v>
      </c>
      <c r="G7" s="30">
        <v>50</v>
      </c>
      <c r="H7" s="30">
        <v>50</v>
      </c>
    </row>
    <row r="10" spans="1:8" x14ac:dyDescent="0.25">
      <c r="B10" s="129"/>
      <c r="C10" s="129"/>
      <c r="D10" s="129"/>
      <c r="E10" s="129"/>
      <c r="F10" s="129"/>
      <c r="G10" s="129"/>
      <c r="H10" s="129"/>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T206"/>
  <sheetViews>
    <sheetView showGridLines="0" zoomScaleNormal="100" workbookViewId="0">
      <selection activeCell="C5" sqref="C5"/>
    </sheetView>
  </sheetViews>
  <sheetFormatPr defaultColWidth="10.140625" defaultRowHeight="15" x14ac:dyDescent="0.25"/>
  <cols>
    <col min="1" max="1" width="10.140625" style="154"/>
    <col min="2" max="2" width="16" style="131" customWidth="1"/>
    <col min="3" max="3" width="10.85546875" style="131" customWidth="1"/>
    <col min="4" max="4" width="15.42578125" style="131" customWidth="1"/>
    <col min="5" max="6" width="11.85546875" style="131" customWidth="1"/>
    <col min="7" max="7" width="14.7109375" style="131" customWidth="1"/>
    <col min="8" max="8" width="15.140625" style="131" customWidth="1"/>
    <col min="9" max="9" width="13.7109375" style="156" customWidth="1"/>
    <col min="10" max="10" width="17.7109375" style="156" customWidth="1"/>
    <col min="11" max="11" width="17.7109375" style="131" bestFit="1" customWidth="1"/>
    <col min="12" max="12" width="14.28515625" style="131" customWidth="1"/>
    <col min="13" max="16" width="10.140625" style="131"/>
    <col min="17" max="17" width="34" style="131" customWidth="1"/>
    <col min="18" max="18" width="20.140625" style="131" customWidth="1"/>
    <col min="19" max="16384" width="10.140625" style="131"/>
  </cols>
  <sheetData>
    <row r="1" spans="1:20" ht="17.25" customHeight="1" x14ac:dyDescent="0.25">
      <c r="A1" s="161" t="str">
        <f>BS!A1</f>
        <v>SADASHIVA PSYLLIUM PRIVATE LIMITED</v>
      </c>
      <c r="B1" s="157"/>
      <c r="C1" s="157"/>
      <c r="D1" s="157"/>
      <c r="E1" s="157"/>
      <c r="F1" s="157"/>
      <c r="G1" s="157"/>
      <c r="H1" s="158"/>
      <c r="I1" s="159"/>
      <c r="J1" s="160"/>
      <c r="K1" s="157"/>
      <c r="L1" s="157"/>
    </row>
    <row r="2" spans="1:20" x14ac:dyDescent="0.25">
      <c r="A2" s="130"/>
      <c r="B2" s="132"/>
      <c r="C2" s="132"/>
      <c r="D2" s="132"/>
      <c r="E2" s="132"/>
      <c r="F2" s="132"/>
      <c r="G2" s="132"/>
      <c r="H2" s="132"/>
      <c r="I2" s="133"/>
      <c r="J2" s="134"/>
      <c r="K2" s="132"/>
      <c r="L2" s="132"/>
    </row>
    <row r="3" spans="1:20" x14ac:dyDescent="0.25">
      <c r="A3" s="162"/>
      <c r="B3" s="163"/>
      <c r="C3" s="164"/>
      <c r="D3" s="164" t="s">
        <v>94</v>
      </c>
      <c r="E3" s="164"/>
      <c r="F3" s="164"/>
      <c r="G3" s="164"/>
      <c r="H3" s="164"/>
      <c r="I3" s="165"/>
      <c r="J3" s="166"/>
      <c r="K3" s="164" t="s">
        <v>95</v>
      </c>
      <c r="L3" s="167">
        <v>600</v>
      </c>
    </row>
    <row r="4" spans="1:20" x14ac:dyDescent="0.25">
      <c r="A4" s="130"/>
      <c r="B4" s="135"/>
      <c r="C4" s="132"/>
      <c r="D4" s="132"/>
      <c r="E4" s="132"/>
      <c r="F4" s="132" t="s">
        <v>187</v>
      </c>
      <c r="G4" s="137">
        <v>84</v>
      </c>
      <c r="H4" s="138" t="s">
        <v>47</v>
      </c>
      <c r="I4" s="133"/>
      <c r="J4" s="134"/>
      <c r="K4" s="132" t="s">
        <v>96</v>
      </c>
      <c r="L4" s="136">
        <f>G4-G5</f>
        <v>72</v>
      </c>
    </row>
    <row r="5" spans="1:20" x14ac:dyDescent="0.25">
      <c r="A5" s="130"/>
      <c r="B5" s="138" t="s">
        <v>97</v>
      </c>
      <c r="C5" s="130">
        <v>600</v>
      </c>
      <c r="D5" s="132"/>
      <c r="E5" s="132"/>
      <c r="F5" s="132" t="s">
        <v>186</v>
      </c>
      <c r="G5" s="135">
        <v>12</v>
      </c>
      <c r="H5" s="138" t="s">
        <v>47</v>
      </c>
      <c r="I5" s="139" t="s">
        <v>98</v>
      </c>
      <c r="J5" s="140"/>
      <c r="K5" s="135"/>
      <c r="L5" s="141">
        <f>+L3/L4</f>
        <v>8.3333333333333339</v>
      </c>
    </row>
    <row r="6" spans="1:20" x14ac:dyDescent="0.25">
      <c r="A6" s="130"/>
      <c r="B6" s="138" t="s">
        <v>99</v>
      </c>
      <c r="C6" s="142">
        <v>7.2499999999999995E-2</v>
      </c>
      <c r="D6" s="132"/>
      <c r="E6" s="132"/>
      <c r="F6" s="132"/>
      <c r="G6" s="132"/>
      <c r="H6" s="132"/>
      <c r="I6" s="139"/>
      <c r="J6" s="140"/>
      <c r="K6" s="137"/>
      <c r="L6" s="138"/>
    </row>
    <row r="7" spans="1:20" x14ac:dyDescent="0.25">
      <c r="A7" s="130"/>
      <c r="B7" s="143"/>
      <c r="C7" s="135"/>
      <c r="D7" s="135"/>
      <c r="E7" s="135"/>
      <c r="F7" s="135"/>
      <c r="G7" s="135"/>
      <c r="H7" s="135"/>
      <c r="I7" s="140"/>
      <c r="J7" s="140"/>
      <c r="K7" s="135"/>
      <c r="L7" s="137"/>
    </row>
    <row r="8" spans="1:20" ht="30" x14ac:dyDescent="0.25">
      <c r="A8" s="162"/>
      <c r="B8" s="168" t="s">
        <v>49</v>
      </c>
      <c r="C8" s="168" t="s">
        <v>48</v>
      </c>
      <c r="D8" s="168" t="s">
        <v>30</v>
      </c>
      <c r="E8" s="168" t="s">
        <v>100</v>
      </c>
      <c r="F8" s="168" t="s">
        <v>80</v>
      </c>
      <c r="G8" s="168" t="s">
        <v>101</v>
      </c>
      <c r="H8" s="168" t="s">
        <v>102</v>
      </c>
      <c r="I8" s="169" t="s">
        <v>103</v>
      </c>
      <c r="J8" s="170" t="s">
        <v>32</v>
      </c>
      <c r="K8" s="168" t="s">
        <v>104</v>
      </c>
      <c r="L8" s="168" t="s">
        <v>105</v>
      </c>
    </row>
    <row r="9" spans="1:20" x14ac:dyDescent="0.25">
      <c r="A9" s="130"/>
      <c r="B9" s="144"/>
      <c r="C9" s="130"/>
      <c r="D9" s="145"/>
      <c r="E9" s="145"/>
      <c r="F9" s="145"/>
      <c r="G9" s="145"/>
      <c r="H9" s="145"/>
      <c r="I9" s="140"/>
      <c r="J9" s="140"/>
      <c r="K9" s="145"/>
      <c r="L9" s="145"/>
      <c r="T9" s="146"/>
    </row>
    <row r="10" spans="1:20" x14ac:dyDescent="0.25">
      <c r="A10" s="130">
        <v>1</v>
      </c>
      <c r="B10" s="147" t="s">
        <v>2</v>
      </c>
      <c r="C10" s="130" t="s">
        <v>110</v>
      </c>
      <c r="D10" s="140">
        <v>0</v>
      </c>
      <c r="E10" s="148">
        <f>C6</f>
        <v>7.2499999999999995E-2</v>
      </c>
      <c r="F10" s="149">
        <f t="shared" ref="F10:F18" si="0">G10+H10</f>
        <v>0</v>
      </c>
      <c r="G10" s="140">
        <v>0</v>
      </c>
      <c r="H10" s="149">
        <f t="shared" ref="H10:H16" si="1">D10*E10/12</f>
        <v>0</v>
      </c>
      <c r="I10" s="140">
        <f t="shared" ref="I10:I15" si="2">H10</f>
        <v>0</v>
      </c>
      <c r="J10" s="140">
        <f>D10-G10</f>
        <v>0</v>
      </c>
      <c r="K10" s="140">
        <f t="shared" ref="K10:K15" si="3">I10</f>
        <v>0</v>
      </c>
      <c r="L10" s="140">
        <f t="shared" ref="L10:L15" si="4">G10</f>
        <v>0</v>
      </c>
      <c r="T10" s="146"/>
    </row>
    <row r="11" spans="1:20" x14ac:dyDescent="0.25">
      <c r="A11" s="130">
        <v>2</v>
      </c>
      <c r="B11" s="147"/>
      <c r="C11" s="130" t="s">
        <v>111</v>
      </c>
      <c r="D11" s="140">
        <v>0</v>
      </c>
      <c r="E11" s="148">
        <f t="shared" ref="E11:E17" si="5">E10</f>
        <v>7.2499999999999995E-2</v>
      </c>
      <c r="F11" s="149">
        <f t="shared" si="0"/>
        <v>0</v>
      </c>
      <c r="G11" s="140">
        <v>0</v>
      </c>
      <c r="H11" s="149">
        <f t="shared" si="1"/>
        <v>0</v>
      </c>
      <c r="I11" s="140">
        <f t="shared" si="2"/>
        <v>0</v>
      </c>
      <c r="J11" s="140">
        <f>D11</f>
        <v>0</v>
      </c>
      <c r="K11" s="140">
        <f t="shared" si="3"/>
        <v>0</v>
      </c>
      <c r="L11" s="140">
        <f t="shared" si="4"/>
        <v>0</v>
      </c>
      <c r="T11" s="146"/>
    </row>
    <row r="12" spans="1:20" x14ac:dyDescent="0.25">
      <c r="A12" s="130">
        <v>3</v>
      </c>
      <c r="B12" s="147"/>
      <c r="C12" s="130" t="s">
        <v>112</v>
      </c>
      <c r="D12" s="140">
        <v>0</v>
      </c>
      <c r="E12" s="148">
        <f t="shared" si="5"/>
        <v>7.2499999999999995E-2</v>
      </c>
      <c r="F12" s="149">
        <f t="shared" si="0"/>
        <v>0</v>
      </c>
      <c r="G12" s="140">
        <v>0</v>
      </c>
      <c r="H12" s="149">
        <f t="shared" si="1"/>
        <v>0</v>
      </c>
      <c r="I12" s="140">
        <f t="shared" si="2"/>
        <v>0</v>
      </c>
      <c r="J12" s="140">
        <f>D12</f>
        <v>0</v>
      </c>
      <c r="K12" s="140">
        <f t="shared" si="3"/>
        <v>0</v>
      </c>
      <c r="L12" s="140">
        <f t="shared" si="4"/>
        <v>0</v>
      </c>
      <c r="T12" s="146"/>
    </row>
    <row r="13" spans="1:20" x14ac:dyDescent="0.25">
      <c r="A13" s="130">
        <v>4</v>
      </c>
      <c r="B13" s="147"/>
      <c r="C13" s="130" t="s">
        <v>113</v>
      </c>
      <c r="D13" s="140">
        <v>200</v>
      </c>
      <c r="E13" s="148">
        <f t="shared" si="5"/>
        <v>7.2499999999999995E-2</v>
      </c>
      <c r="F13" s="149">
        <f t="shared" si="0"/>
        <v>1.2083333333333333</v>
      </c>
      <c r="G13" s="140">
        <v>0</v>
      </c>
      <c r="H13" s="149">
        <f t="shared" si="1"/>
        <v>1.2083333333333333</v>
      </c>
      <c r="I13" s="140">
        <f t="shared" si="2"/>
        <v>1.2083333333333333</v>
      </c>
      <c r="J13" s="140">
        <f>D13</f>
        <v>200</v>
      </c>
      <c r="K13" s="140">
        <f t="shared" si="3"/>
        <v>1.2083333333333333</v>
      </c>
      <c r="L13" s="140">
        <f t="shared" si="4"/>
        <v>0</v>
      </c>
      <c r="T13" s="146"/>
    </row>
    <row r="14" spans="1:20" x14ac:dyDescent="0.25">
      <c r="A14" s="130">
        <v>5</v>
      </c>
      <c r="B14" s="147"/>
      <c r="C14" s="130" t="s">
        <v>114</v>
      </c>
      <c r="D14" s="140">
        <v>450</v>
      </c>
      <c r="E14" s="148">
        <f t="shared" si="5"/>
        <v>7.2499999999999995E-2</v>
      </c>
      <c r="F14" s="149">
        <f t="shared" si="0"/>
        <v>2.71875</v>
      </c>
      <c r="G14" s="140">
        <v>0</v>
      </c>
      <c r="H14" s="149">
        <f t="shared" si="1"/>
        <v>2.71875</v>
      </c>
      <c r="I14" s="140">
        <f t="shared" si="2"/>
        <v>2.71875</v>
      </c>
      <c r="J14" s="140">
        <f>D14</f>
        <v>450</v>
      </c>
      <c r="K14" s="140">
        <f t="shared" si="3"/>
        <v>2.71875</v>
      </c>
      <c r="L14" s="140">
        <f t="shared" si="4"/>
        <v>0</v>
      </c>
      <c r="T14" s="146"/>
    </row>
    <row r="15" spans="1:20" x14ac:dyDescent="0.25">
      <c r="A15" s="130">
        <v>6</v>
      </c>
      <c r="B15" s="147"/>
      <c r="C15" s="130" t="s">
        <v>115</v>
      </c>
      <c r="D15" s="140">
        <f>J14</f>
        <v>450</v>
      </c>
      <c r="E15" s="148">
        <f t="shared" si="5"/>
        <v>7.2499999999999995E-2</v>
      </c>
      <c r="F15" s="149">
        <f t="shared" si="0"/>
        <v>2.71875</v>
      </c>
      <c r="G15" s="140">
        <v>0</v>
      </c>
      <c r="H15" s="149">
        <f t="shared" si="1"/>
        <v>2.71875</v>
      </c>
      <c r="I15" s="140">
        <f t="shared" si="2"/>
        <v>2.71875</v>
      </c>
      <c r="J15" s="140">
        <f>D15-G15</f>
        <v>450</v>
      </c>
      <c r="K15" s="140">
        <f t="shared" si="3"/>
        <v>2.71875</v>
      </c>
      <c r="L15" s="140">
        <f t="shared" si="4"/>
        <v>0</v>
      </c>
      <c r="T15" s="146"/>
    </row>
    <row r="16" spans="1:20" x14ac:dyDescent="0.25">
      <c r="A16" s="130">
        <v>7</v>
      </c>
      <c r="B16" s="147"/>
      <c r="C16" s="130" t="s">
        <v>116</v>
      </c>
      <c r="D16" s="140">
        <f>J15</f>
        <v>450</v>
      </c>
      <c r="E16" s="148">
        <f t="shared" si="5"/>
        <v>7.2499999999999995E-2</v>
      </c>
      <c r="F16" s="149">
        <f t="shared" si="0"/>
        <v>2.71875</v>
      </c>
      <c r="G16" s="140">
        <f>G15</f>
        <v>0</v>
      </c>
      <c r="H16" s="149">
        <f t="shared" si="1"/>
        <v>2.71875</v>
      </c>
      <c r="I16" s="140">
        <f t="shared" ref="I16:I79" si="6">H16</f>
        <v>2.71875</v>
      </c>
      <c r="J16" s="140">
        <f t="shared" ref="J16:J79" si="7">D16-G16</f>
        <v>450</v>
      </c>
      <c r="K16" s="140">
        <f>I16+K15</f>
        <v>5.4375</v>
      </c>
      <c r="L16" s="140">
        <f>G16+L15</f>
        <v>0</v>
      </c>
    </row>
    <row r="17" spans="1:18" x14ac:dyDescent="0.25">
      <c r="A17" s="130">
        <v>8</v>
      </c>
      <c r="B17" s="147"/>
      <c r="C17" s="130" t="s">
        <v>117</v>
      </c>
      <c r="D17" s="140">
        <v>600</v>
      </c>
      <c r="E17" s="148">
        <f t="shared" si="5"/>
        <v>7.2499999999999995E-2</v>
      </c>
      <c r="F17" s="149">
        <f t="shared" si="0"/>
        <v>3.625</v>
      </c>
      <c r="G17" s="140">
        <f>G16</f>
        <v>0</v>
      </c>
      <c r="H17" s="149">
        <f t="shared" ref="H17:H80" si="8">D17*E17/12</f>
        <v>3.625</v>
      </c>
      <c r="I17" s="140">
        <f t="shared" si="6"/>
        <v>3.625</v>
      </c>
      <c r="J17" s="140">
        <f t="shared" si="7"/>
        <v>600</v>
      </c>
      <c r="K17" s="150">
        <f>I17+K16</f>
        <v>9.0625</v>
      </c>
      <c r="L17" s="140">
        <f>G17+L16</f>
        <v>0</v>
      </c>
      <c r="R17" s="151"/>
    </row>
    <row r="18" spans="1:18" x14ac:dyDescent="0.25">
      <c r="A18" s="130">
        <v>9</v>
      </c>
      <c r="B18" s="147" t="s">
        <v>56</v>
      </c>
      <c r="C18" s="130" t="s">
        <v>188</v>
      </c>
      <c r="D18" s="140">
        <f t="shared" ref="D18:D80" si="9">J17</f>
        <v>600</v>
      </c>
      <c r="E18" s="148">
        <f t="shared" ref="E18:E81" si="10">E17</f>
        <v>7.2499999999999995E-2</v>
      </c>
      <c r="F18" s="149">
        <f t="shared" si="0"/>
        <v>3.625</v>
      </c>
      <c r="G18" s="140">
        <f t="shared" ref="G18:G81" si="11">G17</f>
        <v>0</v>
      </c>
      <c r="H18" s="149">
        <f t="shared" si="8"/>
        <v>3.625</v>
      </c>
      <c r="I18" s="140">
        <f t="shared" si="6"/>
        <v>3.625</v>
      </c>
      <c r="J18" s="140">
        <f t="shared" si="7"/>
        <v>600</v>
      </c>
      <c r="K18" s="140">
        <f>I18</f>
        <v>3.625</v>
      </c>
      <c r="L18" s="140">
        <f>G18</f>
        <v>0</v>
      </c>
      <c r="R18" s="152"/>
    </row>
    <row r="19" spans="1:18" x14ac:dyDescent="0.25">
      <c r="A19" s="130">
        <v>10</v>
      </c>
      <c r="B19" s="147"/>
      <c r="C19" s="130" t="s">
        <v>109</v>
      </c>
      <c r="D19" s="140">
        <f t="shared" si="9"/>
        <v>600</v>
      </c>
      <c r="E19" s="148">
        <f t="shared" si="10"/>
        <v>7.2499999999999995E-2</v>
      </c>
      <c r="F19" s="149">
        <f t="shared" ref="F19:F29" si="12">G19+H19</f>
        <v>3.625</v>
      </c>
      <c r="G19" s="140">
        <f t="shared" si="11"/>
        <v>0</v>
      </c>
      <c r="H19" s="149">
        <f t="shared" si="8"/>
        <v>3.625</v>
      </c>
      <c r="I19" s="140">
        <f t="shared" si="6"/>
        <v>3.625</v>
      </c>
      <c r="J19" s="140">
        <f t="shared" si="7"/>
        <v>600</v>
      </c>
      <c r="K19" s="140">
        <f>I19+K18</f>
        <v>7.25</v>
      </c>
      <c r="L19" s="140">
        <f>G19+L18</f>
        <v>0</v>
      </c>
    </row>
    <row r="20" spans="1:18" x14ac:dyDescent="0.25">
      <c r="A20" s="130">
        <v>11</v>
      </c>
      <c r="B20" s="147"/>
      <c r="C20" s="130" t="s">
        <v>189</v>
      </c>
      <c r="D20" s="140">
        <f t="shared" si="9"/>
        <v>600</v>
      </c>
      <c r="E20" s="148">
        <f t="shared" si="10"/>
        <v>7.2499999999999995E-2</v>
      </c>
      <c r="F20" s="149">
        <f t="shared" si="12"/>
        <v>3.625</v>
      </c>
      <c r="G20" s="140">
        <f t="shared" si="11"/>
        <v>0</v>
      </c>
      <c r="H20" s="149">
        <f t="shared" si="8"/>
        <v>3.625</v>
      </c>
      <c r="I20" s="140">
        <f t="shared" si="6"/>
        <v>3.625</v>
      </c>
      <c r="J20" s="140">
        <f t="shared" si="7"/>
        <v>600</v>
      </c>
      <c r="K20" s="140">
        <f t="shared" ref="K20:K29" si="13">I20+K19</f>
        <v>10.875</v>
      </c>
      <c r="L20" s="140">
        <f t="shared" ref="L20:L29" si="14">G20+L19</f>
        <v>0</v>
      </c>
      <c r="R20" s="153"/>
    </row>
    <row r="21" spans="1:18" x14ac:dyDescent="0.25">
      <c r="A21" s="130">
        <v>12</v>
      </c>
      <c r="B21" s="147"/>
      <c r="C21" s="130" t="s">
        <v>190</v>
      </c>
      <c r="D21" s="140">
        <f t="shared" si="9"/>
        <v>600</v>
      </c>
      <c r="E21" s="148">
        <f t="shared" si="10"/>
        <v>7.2499999999999995E-2</v>
      </c>
      <c r="F21" s="149">
        <f t="shared" si="12"/>
        <v>3.625</v>
      </c>
      <c r="G21" s="140">
        <f t="shared" si="11"/>
        <v>0</v>
      </c>
      <c r="H21" s="149">
        <f t="shared" si="8"/>
        <v>3.625</v>
      </c>
      <c r="I21" s="140">
        <f t="shared" si="6"/>
        <v>3.625</v>
      </c>
      <c r="J21" s="140">
        <f t="shared" si="7"/>
        <v>600</v>
      </c>
      <c r="K21" s="140">
        <f t="shared" si="13"/>
        <v>14.5</v>
      </c>
      <c r="L21" s="140">
        <f t="shared" si="14"/>
        <v>0</v>
      </c>
    </row>
    <row r="22" spans="1:18" x14ac:dyDescent="0.25">
      <c r="A22" s="130">
        <v>13</v>
      </c>
      <c r="B22" s="147"/>
      <c r="C22" s="130" t="s">
        <v>110</v>
      </c>
      <c r="D22" s="140">
        <f t="shared" si="9"/>
        <v>600</v>
      </c>
      <c r="E22" s="148">
        <f t="shared" si="10"/>
        <v>7.2499999999999995E-2</v>
      </c>
      <c r="F22" s="149">
        <f t="shared" si="12"/>
        <v>3.625</v>
      </c>
      <c r="G22" s="140">
        <f t="shared" si="11"/>
        <v>0</v>
      </c>
      <c r="H22" s="149">
        <f t="shared" si="8"/>
        <v>3.625</v>
      </c>
      <c r="I22" s="140">
        <f t="shared" si="6"/>
        <v>3.625</v>
      </c>
      <c r="J22" s="140">
        <f t="shared" si="7"/>
        <v>600</v>
      </c>
      <c r="K22" s="140">
        <f t="shared" si="13"/>
        <v>18.125</v>
      </c>
      <c r="L22" s="140">
        <f t="shared" si="14"/>
        <v>0</v>
      </c>
    </row>
    <row r="23" spans="1:18" x14ac:dyDescent="0.25">
      <c r="A23" s="130">
        <v>14</v>
      </c>
      <c r="B23" s="147"/>
      <c r="C23" s="130" t="s">
        <v>111</v>
      </c>
      <c r="D23" s="140">
        <f t="shared" si="9"/>
        <v>600</v>
      </c>
      <c r="E23" s="148">
        <f t="shared" si="10"/>
        <v>7.2499999999999995E-2</v>
      </c>
      <c r="F23" s="149">
        <f t="shared" si="12"/>
        <v>3.625</v>
      </c>
      <c r="G23" s="140">
        <f t="shared" si="11"/>
        <v>0</v>
      </c>
      <c r="H23" s="149">
        <f t="shared" si="8"/>
        <v>3.625</v>
      </c>
      <c r="I23" s="140">
        <f t="shared" si="6"/>
        <v>3.625</v>
      </c>
      <c r="J23" s="140">
        <f t="shared" si="7"/>
        <v>600</v>
      </c>
      <c r="K23" s="140">
        <f t="shared" si="13"/>
        <v>21.75</v>
      </c>
      <c r="L23" s="140">
        <f t="shared" si="14"/>
        <v>0</v>
      </c>
    </row>
    <row r="24" spans="1:18" x14ac:dyDescent="0.25">
      <c r="A24" s="130">
        <v>15</v>
      </c>
      <c r="B24" s="147"/>
      <c r="C24" s="130" t="s">
        <v>112</v>
      </c>
      <c r="D24" s="140">
        <f t="shared" si="9"/>
        <v>600</v>
      </c>
      <c r="E24" s="148">
        <f t="shared" si="10"/>
        <v>7.2499999999999995E-2</v>
      </c>
      <c r="F24" s="149">
        <f t="shared" si="12"/>
        <v>3.625</v>
      </c>
      <c r="G24" s="140">
        <f t="shared" si="11"/>
        <v>0</v>
      </c>
      <c r="H24" s="149">
        <f t="shared" si="8"/>
        <v>3.625</v>
      </c>
      <c r="I24" s="140">
        <f t="shared" si="6"/>
        <v>3.625</v>
      </c>
      <c r="J24" s="140">
        <f t="shared" si="7"/>
        <v>600</v>
      </c>
      <c r="K24" s="140">
        <f t="shared" si="13"/>
        <v>25.375</v>
      </c>
      <c r="L24" s="140">
        <f t="shared" si="14"/>
        <v>0</v>
      </c>
    </row>
    <row r="25" spans="1:18" x14ac:dyDescent="0.25">
      <c r="A25" s="130">
        <v>16</v>
      </c>
      <c r="B25" s="147"/>
      <c r="C25" s="130" t="s">
        <v>113</v>
      </c>
      <c r="D25" s="140">
        <f t="shared" si="9"/>
        <v>600</v>
      </c>
      <c r="E25" s="148">
        <f t="shared" si="10"/>
        <v>7.2499999999999995E-2</v>
      </c>
      <c r="F25" s="149">
        <f t="shared" si="12"/>
        <v>11.958333333333334</v>
      </c>
      <c r="G25" s="140">
        <f>L5</f>
        <v>8.3333333333333339</v>
      </c>
      <c r="H25" s="149">
        <f t="shared" si="8"/>
        <v>3.625</v>
      </c>
      <c r="I25" s="140">
        <f t="shared" si="6"/>
        <v>3.625</v>
      </c>
      <c r="J25" s="140">
        <f t="shared" si="7"/>
        <v>591.66666666666663</v>
      </c>
      <c r="K25" s="140">
        <f t="shared" si="13"/>
        <v>29</v>
      </c>
      <c r="L25" s="140">
        <f t="shared" si="14"/>
        <v>8.3333333333333339</v>
      </c>
    </row>
    <row r="26" spans="1:18" x14ac:dyDescent="0.25">
      <c r="A26" s="130">
        <v>17</v>
      </c>
      <c r="B26" s="147"/>
      <c r="C26" s="130" t="s">
        <v>114</v>
      </c>
      <c r="D26" s="140">
        <f t="shared" si="9"/>
        <v>591.66666666666663</v>
      </c>
      <c r="E26" s="148">
        <f t="shared" si="10"/>
        <v>7.2499999999999995E-2</v>
      </c>
      <c r="F26" s="149">
        <f t="shared" si="12"/>
        <v>11.907986111111111</v>
      </c>
      <c r="G26" s="140">
        <f t="shared" si="11"/>
        <v>8.3333333333333339</v>
      </c>
      <c r="H26" s="149">
        <f t="shared" si="8"/>
        <v>3.5746527777777772</v>
      </c>
      <c r="I26" s="140">
        <f t="shared" si="6"/>
        <v>3.5746527777777772</v>
      </c>
      <c r="J26" s="140">
        <f t="shared" si="7"/>
        <v>583.33333333333326</v>
      </c>
      <c r="K26" s="140">
        <f t="shared" si="13"/>
        <v>32.574652777777779</v>
      </c>
      <c r="L26" s="140">
        <f t="shared" si="14"/>
        <v>16.666666666666668</v>
      </c>
    </row>
    <row r="27" spans="1:18" x14ac:dyDescent="0.25">
      <c r="A27" s="130">
        <v>18</v>
      </c>
      <c r="B27" s="147"/>
      <c r="C27" s="130" t="s">
        <v>115</v>
      </c>
      <c r="D27" s="140">
        <f t="shared" si="9"/>
        <v>583.33333333333326</v>
      </c>
      <c r="E27" s="148">
        <f t="shared" si="10"/>
        <v>7.2499999999999995E-2</v>
      </c>
      <c r="F27" s="149">
        <f t="shared" si="12"/>
        <v>11.857638888888889</v>
      </c>
      <c r="G27" s="140">
        <f t="shared" si="11"/>
        <v>8.3333333333333339</v>
      </c>
      <c r="H27" s="149">
        <f t="shared" si="8"/>
        <v>3.5243055555555549</v>
      </c>
      <c r="I27" s="140">
        <f t="shared" si="6"/>
        <v>3.5243055555555549</v>
      </c>
      <c r="J27" s="140">
        <f t="shared" si="7"/>
        <v>574.99999999999989</v>
      </c>
      <c r="K27" s="140">
        <f t="shared" si="13"/>
        <v>36.098958333333336</v>
      </c>
      <c r="L27" s="140">
        <f t="shared" si="14"/>
        <v>25</v>
      </c>
    </row>
    <row r="28" spans="1:18" x14ac:dyDescent="0.25">
      <c r="A28" s="130">
        <v>19</v>
      </c>
      <c r="B28" s="147"/>
      <c r="C28" s="130" t="s">
        <v>116</v>
      </c>
      <c r="D28" s="140">
        <f t="shared" si="9"/>
        <v>574.99999999999989</v>
      </c>
      <c r="E28" s="148">
        <f t="shared" si="10"/>
        <v>7.2499999999999995E-2</v>
      </c>
      <c r="F28" s="149">
        <f t="shared" si="12"/>
        <v>11.807291666666666</v>
      </c>
      <c r="G28" s="140">
        <f t="shared" si="11"/>
        <v>8.3333333333333339</v>
      </c>
      <c r="H28" s="149">
        <f t="shared" si="8"/>
        <v>3.4739583333333321</v>
      </c>
      <c r="I28" s="140">
        <f t="shared" si="6"/>
        <v>3.4739583333333321</v>
      </c>
      <c r="J28" s="140">
        <f t="shared" si="7"/>
        <v>566.66666666666652</v>
      </c>
      <c r="K28" s="140">
        <f t="shared" si="13"/>
        <v>39.572916666666671</v>
      </c>
      <c r="L28" s="140">
        <f t="shared" si="14"/>
        <v>33.333333333333336</v>
      </c>
    </row>
    <row r="29" spans="1:18" x14ac:dyDescent="0.25">
      <c r="A29" s="130">
        <v>20</v>
      </c>
      <c r="B29" s="147"/>
      <c r="C29" s="130" t="s">
        <v>117</v>
      </c>
      <c r="D29" s="140">
        <f t="shared" si="9"/>
        <v>566.66666666666652</v>
      </c>
      <c r="E29" s="148">
        <f t="shared" si="10"/>
        <v>7.2499999999999995E-2</v>
      </c>
      <c r="F29" s="149">
        <f t="shared" si="12"/>
        <v>11.756944444444445</v>
      </c>
      <c r="G29" s="140">
        <f t="shared" si="11"/>
        <v>8.3333333333333339</v>
      </c>
      <c r="H29" s="149">
        <f t="shared" si="8"/>
        <v>3.4236111111111103</v>
      </c>
      <c r="I29" s="140">
        <f t="shared" si="6"/>
        <v>3.4236111111111103</v>
      </c>
      <c r="J29" s="140">
        <f t="shared" si="7"/>
        <v>558.33333333333314</v>
      </c>
      <c r="K29" s="150">
        <f t="shared" si="13"/>
        <v>42.996527777777779</v>
      </c>
      <c r="L29" s="140">
        <f t="shared" si="14"/>
        <v>41.666666666666671</v>
      </c>
    </row>
    <row r="30" spans="1:18" x14ac:dyDescent="0.25">
      <c r="A30" s="130">
        <v>21</v>
      </c>
      <c r="B30" s="147" t="s">
        <v>59</v>
      </c>
      <c r="C30" s="130" t="s">
        <v>188</v>
      </c>
      <c r="D30" s="140">
        <f t="shared" si="9"/>
        <v>558.33333333333314</v>
      </c>
      <c r="E30" s="148">
        <f t="shared" si="10"/>
        <v>7.2499999999999995E-2</v>
      </c>
      <c r="F30" s="149">
        <f>G30+H30</f>
        <v>11.706597222222221</v>
      </c>
      <c r="G30" s="140">
        <f>L5</f>
        <v>8.3333333333333339</v>
      </c>
      <c r="H30" s="149">
        <f t="shared" si="8"/>
        <v>3.3732638888888875</v>
      </c>
      <c r="I30" s="140">
        <f t="shared" si="6"/>
        <v>3.3732638888888875</v>
      </c>
      <c r="J30" s="140">
        <f t="shared" si="7"/>
        <v>549.99999999999977</v>
      </c>
      <c r="K30" s="140">
        <f>I30</f>
        <v>3.3732638888888875</v>
      </c>
      <c r="L30" s="140">
        <f>G30</f>
        <v>8.3333333333333339</v>
      </c>
    </row>
    <row r="31" spans="1:18" x14ac:dyDescent="0.25">
      <c r="A31" s="130">
        <v>22</v>
      </c>
      <c r="B31" s="147"/>
      <c r="C31" s="130" t="s">
        <v>109</v>
      </c>
      <c r="D31" s="140">
        <f t="shared" si="9"/>
        <v>549.99999999999977</v>
      </c>
      <c r="E31" s="148">
        <f t="shared" si="10"/>
        <v>7.2499999999999995E-2</v>
      </c>
      <c r="F31" s="149">
        <f t="shared" ref="F31:F93" si="15">G31+H31</f>
        <v>11.656249999999998</v>
      </c>
      <c r="G31" s="140">
        <f t="shared" si="11"/>
        <v>8.3333333333333339</v>
      </c>
      <c r="H31" s="149">
        <f t="shared" si="8"/>
        <v>3.3229166666666647</v>
      </c>
      <c r="I31" s="140">
        <f t="shared" si="6"/>
        <v>3.3229166666666647</v>
      </c>
      <c r="J31" s="140">
        <f t="shared" si="7"/>
        <v>541.6666666666664</v>
      </c>
      <c r="K31" s="140">
        <f>I31+K30</f>
        <v>6.6961805555555518</v>
      </c>
      <c r="L31" s="140">
        <f>G31+L30</f>
        <v>16.666666666666668</v>
      </c>
    </row>
    <row r="32" spans="1:18" x14ac:dyDescent="0.25">
      <c r="A32" s="130">
        <v>23</v>
      </c>
      <c r="B32" s="147"/>
      <c r="C32" s="130" t="s">
        <v>189</v>
      </c>
      <c r="D32" s="140">
        <f t="shared" si="9"/>
        <v>541.6666666666664</v>
      </c>
      <c r="E32" s="148">
        <f t="shared" si="10"/>
        <v>7.2499999999999995E-2</v>
      </c>
      <c r="F32" s="149">
        <f t="shared" si="15"/>
        <v>11.605902777777777</v>
      </c>
      <c r="G32" s="140">
        <f t="shared" si="11"/>
        <v>8.3333333333333339</v>
      </c>
      <c r="H32" s="149">
        <f t="shared" si="8"/>
        <v>3.2725694444444429</v>
      </c>
      <c r="I32" s="140">
        <f t="shared" si="6"/>
        <v>3.2725694444444429</v>
      </c>
      <c r="J32" s="140">
        <f t="shared" si="7"/>
        <v>533.33333333333303</v>
      </c>
      <c r="K32" s="140">
        <f t="shared" ref="K32:K41" si="16">I32+K31</f>
        <v>9.9687499999999947</v>
      </c>
      <c r="L32" s="140">
        <f t="shared" ref="L32:L41" si="17">G32+L31</f>
        <v>25</v>
      </c>
    </row>
    <row r="33" spans="1:12" x14ac:dyDescent="0.25">
      <c r="A33" s="130">
        <v>24</v>
      </c>
      <c r="B33" s="147"/>
      <c r="C33" s="130" t="s">
        <v>190</v>
      </c>
      <c r="D33" s="140">
        <f t="shared" si="9"/>
        <v>533.33333333333303</v>
      </c>
      <c r="E33" s="148">
        <f t="shared" si="10"/>
        <v>7.2499999999999995E-2</v>
      </c>
      <c r="F33" s="149">
        <f t="shared" si="15"/>
        <v>11.555555555555554</v>
      </c>
      <c r="G33" s="140">
        <f t="shared" si="11"/>
        <v>8.3333333333333339</v>
      </c>
      <c r="H33" s="149">
        <f t="shared" si="8"/>
        <v>3.2222222222222201</v>
      </c>
      <c r="I33" s="140">
        <f t="shared" si="6"/>
        <v>3.2222222222222201</v>
      </c>
      <c r="J33" s="140">
        <f t="shared" si="7"/>
        <v>524.99999999999966</v>
      </c>
      <c r="K33" s="140">
        <f t="shared" si="16"/>
        <v>13.190972222222214</v>
      </c>
      <c r="L33" s="140">
        <f t="shared" si="17"/>
        <v>33.333333333333336</v>
      </c>
    </row>
    <row r="34" spans="1:12" x14ac:dyDescent="0.25">
      <c r="A34" s="130">
        <v>25</v>
      </c>
      <c r="B34" s="147"/>
      <c r="C34" s="130" t="s">
        <v>110</v>
      </c>
      <c r="D34" s="140">
        <f t="shared" si="9"/>
        <v>524.99999999999966</v>
      </c>
      <c r="E34" s="148">
        <f t="shared" si="10"/>
        <v>7.2499999999999995E-2</v>
      </c>
      <c r="F34" s="149">
        <f t="shared" si="15"/>
        <v>11.505208333333332</v>
      </c>
      <c r="G34" s="140">
        <f t="shared" si="11"/>
        <v>8.3333333333333339</v>
      </c>
      <c r="H34" s="149">
        <f t="shared" si="8"/>
        <v>3.1718749999999978</v>
      </c>
      <c r="I34" s="140">
        <f t="shared" si="6"/>
        <v>3.1718749999999978</v>
      </c>
      <c r="J34" s="140">
        <f t="shared" si="7"/>
        <v>516.66666666666629</v>
      </c>
      <c r="K34" s="140">
        <f t="shared" si="16"/>
        <v>16.362847222222211</v>
      </c>
      <c r="L34" s="140">
        <f t="shared" si="17"/>
        <v>41.666666666666671</v>
      </c>
    </row>
    <row r="35" spans="1:12" x14ac:dyDescent="0.25">
      <c r="A35" s="130">
        <v>26</v>
      </c>
      <c r="B35" s="147"/>
      <c r="C35" s="130" t="s">
        <v>111</v>
      </c>
      <c r="D35" s="140">
        <f t="shared" si="9"/>
        <v>516.66666666666629</v>
      </c>
      <c r="E35" s="148">
        <f t="shared" si="10"/>
        <v>7.2499999999999995E-2</v>
      </c>
      <c r="F35" s="149">
        <f t="shared" si="15"/>
        <v>11.454861111111109</v>
      </c>
      <c r="G35" s="140">
        <f t="shared" si="11"/>
        <v>8.3333333333333339</v>
      </c>
      <c r="H35" s="149">
        <f t="shared" si="8"/>
        <v>3.121527777777775</v>
      </c>
      <c r="I35" s="140">
        <f t="shared" si="6"/>
        <v>3.121527777777775</v>
      </c>
      <c r="J35" s="140">
        <f t="shared" si="7"/>
        <v>508.33333333333297</v>
      </c>
      <c r="K35" s="140">
        <f t="shared" si="16"/>
        <v>19.484374999999986</v>
      </c>
      <c r="L35" s="140">
        <f t="shared" si="17"/>
        <v>50.000000000000007</v>
      </c>
    </row>
    <row r="36" spans="1:12" x14ac:dyDescent="0.25">
      <c r="A36" s="130">
        <v>27</v>
      </c>
      <c r="B36" s="147"/>
      <c r="C36" s="130" t="s">
        <v>112</v>
      </c>
      <c r="D36" s="140">
        <f t="shared" si="9"/>
        <v>508.33333333333297</v>
      </c>
      <c r="E36" s="148">
        <f t="shared" si="10"/>
        <v>7.2499999999999995E-2</v>
      </c>
      <c r="F36" s="149">
        <f t="shared" si="15"/>
        <v>11.404513888888888</v>
      </c>
      <c r="G36" s="140">
        <f t="shared" si="11"/>
        <v>8.3333333333333339</v>
      </c>
      <c r="H36" s="149">
        <f t="shared" si="8"/>
        <v>3.0711805555555531</v>
      </c>
      <c r="I36" s="140">
        <f t="shared" si="6"/>
        <v>3.0711805555555531</v>
      </c>
      <c r="J36" s="140">
        <f t="shared" si="7"/>
        <v>499.99999999999966</v>
      </c>
      <c r="K36" s="140">
        <f t="shared" si="16"/>
        <v>22.555555555555539</v>
      </c>
      <c r="L36" s="140">
        <f t="shared" si="17"/>
        <v>58.333333333333343</v>
      </c>
    </row>
    <row r="37" spans="1:12" x14ac:dyDescent="0.25">
      <c r="A37" s="130">
        <v>28</v>
      </c>
      <c r="B37" s="147"/>
      <c r="C37" s="130" t="s">
        <v>113</v>
      </c>
      <c r="D37" s="140">
        <f t="shared" si="9"/>
        <v>499.99999999999966</v>
      </c>
      <c r="E37" s="148">
        <f t="shared" si="10"/>
        <v>7.2499999999999995E-2</v>
      </c>
      <c r="F37" s="149">
        <f t="shared" si="15"/>
        <v>11.354166666666664</v>
      </c>
      <c r="G37" s="140">
        <f t="shared" si="11"/>
        <v>8.3333333333333339</v>
      </c>
      <c r="H37" s="149">
        <f t="shared" si="8"/>
        <v>3.0208333333333308</v>
      </c>
      <c r="I37" s="140">
        <f t="shared" si="6"/>
        <v>3.0208333333333308</v>
      </c>
      <c r="J37" s="140">
        <f t="shared" si="7"/>
        <v>491.66666666666634</v>
      </c>
      <c r="K37" s="140">
        <f t="shared" si="16"/>
        <v>25.576388888888872</v>
      </c>
      <c r="L37" s="140">
        <f t="shared" si="17"/>
        <v>66.666666666666671</v>
      </c>
    </row>
    <row r="38" spans="1:12" x14ac:dyDescent="0.25">
      <c r="A38" s="130">
        <v>29</v>
      </c>
      <c r="B38" s="147"/>
      <c r="C38" s="130" t="s">
        <v>114</v>
      </c>
      <c r="D38" s="140">
        <f t="shared" si="9"/>
        <v>491.66666666666634</v>
      </c>
      <c r="E38" s="148">
        <f t="shared" si="10"/>
        <v>7.2499999999999995E-2</v>
      </c>
      <c r="F38" s="149">
        <f t="shared" si="15"/>
        <v>11.303819444444443</v>
      </c>
      <c r="G38" s="140">
        <f t="shared" si="11"/>
        <v>8.3333333333333339</v>
      </c>
      <c r="H38" s="149">
        <f t="shared" si="8"/>
        <v>2.9704861111111089</v>
      </c>
      <c r="I38" s="140">
        <f t="shared" si="6"/>
        <v>2.9704861111111089</v>
      </c>
      <c r="J38" s="140">
        <f t="shared" si="7"/>
        <v>483.33333333333303</v>
      </c>
      <c r="K38" s="140">
        <f t="shared" si="16"/>
        <v>28.546874999999979</v>
      </c>
      <c r="L38" s="140">
        <f t="shared" si="17"/>
        <v>75</v>
      </c>
    </row>
    <row r="39" spans="1:12" x14ac:dyDescent="0.25">
      <c r="A39" s="130">
        <v>30</v>
      </c>
      <c r="B39" s="147"/>
      <c r="C39" s="130" t="s">
        <v>115</v>
      </c>
      <c r="D39" s="140">
        <f t="shared" si="9"/>
        <v>483.33333333333303</v>
      </c>
      <c r="E39" s="148">
        <f t="shared" si="10"/>
        <v>7.2499999999999995E-2</v>
      </c>
      <c r="F39" s="149">
        <f t="shared" si="15"/>
        <v>11.253472222222221</v>
      </c>
      <c r="G39" s="140">
        <f t="shared" si="11"/>
        <v>8.3333333333333339</v>
      </c>
      <c r="H39" s="149">
        <f t="shared" si="8"/>
        <v>2.9201388888888871</v>
      </c>
      <c r="I39" s="140">
        <f t="shared" si="6"/>
        <v>2.9201388888888871</v>
      </c>
      <c r="J39" s="140">
        <f t="shared" si="7"/>
        <v>474.99999999999972</v>
      </c>
      <c r="K39" s="140">
        <f t="shared" si="16"/>
        <v>31.467013888888864</v>
      </c>
      <c r="L39" s="140">
        <f t="shared" si="17"/>
        <v>83.333333333333329</v>
      </c>
    </row>
    <row r="40" spans="1:12" x14ac:dyDescent="0.25">
      <c r="A40" s="130">
        <v>31</v>
      </c>
      <c r="B40" s="147"/>
      <c r="C40" s="130" t="s">
        <v>116</v>
      </c>
      <c r="D40" s="140">
        <f t="shared" si="9"/>
        <v>474.99999999999972</v>
      </c>
      <c r="E40" s="148">
        <f t="shared" si="10"/>
        <v>7.2499999999999995E-2</v>
      </c>
      <c r="F40" s="149">
        <f t="shared" si="15"/>
        <v>11.203124999999998</v>
      </c>
      <c r="G40" s="140">
        <f t="shared" si="11"/>
        <v>8.3333333333333339</v>
      </c>
      <c r="H40" s="149">
        <f t="shared" si="8"/>
        <v>2.8697916666666647</v>
      </c>
      <c r="I40" s="140">
        <f t="shared" si="6"/>
        <v>2.8697916666666647</v>
      </c>
      <c r="J40" s="140">
        <f t="shared" si="7"/>
        <v>466.6666666666664</v>
      </c>
      <c r="K40" s="140">
        <f t="shared" si="16"/>
        <v>34.336805555555529</v>
      </c>
      <c r="L40" s="140">
        <f t="shared" si="17"/>
        <v>91.666666666666657</v>
      </c>
    </row>
    <row r="41" spans="1:12" x14ac:dyDescent="0.25">
      <c r="A41" s="130">
        <v>32</v>
      </c>
      <c r="B41" s="147"/>
      <c r="C41" s="130" t="s">
        <v>117</v>
      </c>
      <c r="D41" s="140">
        <f t="shared" si="9"/>
        <v>466.6666666666664</v>
      </c>
      <c r="E41" s="148">
        <f t="shared" si="10"/>
        <v>7.2499999999999995E-2</v>
      </c>
      <c r="F41" s="149">
        <f t="shared" si="15"/>
        <v>11.152777777777777</v>
      </c>
      <c r="G41" s="140">
        <f t="shared" si="11"/>
        <v>8.3333333333333339</v>
      </c>
      <c r="H41" s="149">
        <f t="shared" si="8"/>
        <v>2.8194444444444429</v>
      </c>
      <c r="I41" s="140">
        <f t="shared" si="6"/>
        <v>2.8194444444444429</v>
      </c>
      <c r="J41" s="140">
        <f t="shared" si="7"/>
        <v>458.33333333333309</v>
      </c>
      <c r="K41" s="150">
        <f t="shared" si="16"/>
        <v>37.156249999999972</v>
      </c>
      <c r="L41" s="150">
        <f t="shared" si="17"/>
        <v>99.999999999999986</v>
      </c>
    </row>
    <row r="42" spans="1:12" x14ac:dyDescent="0.25">
      <c r="A42" s="130">
        <v>33</v>
      </c>
      <c r="B42" s="147" t="s">
        <v>60</v>
      </c>
      <c r="C42" s="130" t="s">
        <v>188</v>
      </c>
      <c r="D42" s="140">
        <f t="shared" si="9"/>
        <v>458.33333333333309</v>
      </c>
      <c r="E42" s="148">
        <f t="shared" si="10"/>
        <v>7.2499999999999995E-2</v>
      </c>
      <c r="F42" s="149">
        <f>G42+H42</f>
        <v>11.102430555555554</v>
      </c>
      <c r="G42" s="140">
        <f t="shared" si="11"/>
        <v>8.3333333333333339</v>
      </c>
      <c r="H42" s="149">
        <f t="shared" si="8"/>
        <v>2.7690972222222201</v>
      </c>
      <c r="I42" s="140">
        <f t="shared" si="6"/>
        <v>2.7690972222222201</v>
      </c>
      <c r="J42" s="140">
        <f t="shared" si="7"/>
        <v>449.99999999999977</v>
      </c>
      <c r="K42" s="140">
        <f>I42</f>
        <v>2.7690972222222201</v>
      </c>
      <c r="L42" s="140">
        <f>G42</f>
        <v>8.3333333333333339</v>
      </c>
    </row>
    <row r="43" spans="1:12" x14ac:dyDescent="0.25">
      <c r="A43" s="130">
        <v>34</v>
      </c>
      <c r="B43" s="147"/>
      <c r="C43" s="130" t="s">
        <v>109</v>
      </c>
      <c r="D43" s="140">
        <f t="shared" si="9"/>
        <v>449.99999999999977</v>
      </c>
      <c r="E43" s="148">
        <f t="shared" si="10"/>
        <v>7.2499999999999995E-2</v>
      </c>
      <c r="F43" s="149">
        <f t="shared" si="15"/>
        <v>11.052083333333332</v>
      </c>
      <c r="G43" s="140">
        <f t="shared" si="11"/>
        <v>8.3333333333333339</v>
      </c>
      <c r="H43" s="149">
        <f t="shared" si="8"/>
        <v>2.7187499999999982</v>
      </c>
      <c r="I43" s="140">
        <f t="shared" si="6"/>
        <v>2.7187499999999982</v>
      </c>
      <c r="J43" s="140">
        <f t="shared" si="7"/>
        <v>441.66666666666646</v>
      </c>
      <c r="K43" s="140">
        <f>I43+K42</f>
        <v>5.4878472222222179</v>
      </c>
      <c r="L43" s="140">
        <f>G43+L42</f>
        <v>16.666666666666668</v>
      </c>
    </row>
    <row r="44" spans="1:12" x14ac:dyDescent="0.25">
      <c r="A44" s="130">
        <v>35</v>
      </c>
      <c r="B44" s="147"/>
      <c r="C44" s="130" t="s">
        <v>189</v>
      </c>
      <c r="D44" s="140">
        <f t="shared" si="9"/>
        <v>441.66666666666646</v>
      </c>
      <c r="E44" s="148">
        <f t="shared" si="10"/>
        <v>7.2499999999999995E-2</v>
      </c>
      <c r="F44" s="149">
        <f t="shared" si="15"/>
        <v>11.001736111111111</v>
      </c>
      <c r="G44" s="140">
        <f t="shared" si="11"/>
        <v>8.3333333333333339</v>
      </c>
      <c r="H44" s="149">
        <f t="shared" si="8"/>
        <v>2.6684027777777763</v>
      </c>
      <c r="I44" s="140">
        <f t="shared" si="6"/>
        <v>2.6684027777777763</v>
      </c>
      <c r="J44" s="140">
        <f t="shared" si="7"/>
        <v>433.33333333333314</v>
      </c>
      <c r="K44" s="140">
        <f t="shared" ref="K44:K53" si="18">I44+K43</f>
        <v>8.1562499999999947</v>
      </c>
      <c r="L44" s="140">
        <f t="shared" ref="L44:L53" si="19">G44+L43</f>
        <v>25</v>
      </c>
    </row>
    <row r="45" spans="1:12" x14ac:dyDescent="0.25">
      <c r="A45" s="130">
        <v>36</v>
      </c>
      <c r="B45" s="147"/>
      <c r="C45" s="130" t="s">
        <v>190</v>
      </c>
      <c r="D45" s="140">
        <f t="shared" si="9"/>
        <v>433.33333333333314</v>
      </c>
      <c r="E45" s="148">
        <f t="shared" si="10"/>
        <v>7.2499999999999995E-2</v>
      </c>
      <c r="F45" s="149">
        <f t="shared" si="15"/>
        <v>10.951388888888888</v>
      </c>
      <c r="G45" s="140">
        <f t="shared" si="11"/>
        <v>8.3333333333333339</v>
      </c>
      <c r="H45" s="149">
        <f t="shared" si="8"/>
        <v>2.618055555555554</v>
      </c>
      <c r="I45" s="140">
        <f t="shared" si="6"/>
        <v>2.618055555555554</v>
      </c>
      <c r="J45" s="140">
        <f t="shared" si="7"/>
        <v>424.99999999999983</v>
      </c>
      <c r="K45" s="140">
        <f t="shared" si="18"/>
        <v>10.774305555555548</v>
      </c>
      <c r="L45" s="140">
        <f t="shared" si="19"/>
        <v>33.333333333333336</v>
      </c>
    </row>
    <row r="46" spans="1:12" x14ac:dyDescent="0.25">
      <c r="A46" s="130">
        <v>37</v>
      </c>
      <c r="B46" s="147"/>
      <c r="C46" s="130" t="s">
        <v>110</v>
      </c>
      <c r="D46" s="140">
        <f t="shared" si="9"/>
        <v>424.99999999999983</v>
      </c>
      <c r="E46" s="148">
        <f t="shared" si="10"/>
        <v>7.2499999999999995E-2</v>
      </c>
      <c r="F46" s="149">
        <f t="shared" si="15"/>
        <v>10.901041666666666</v>
      </c>
      <c r="G46" s="140">
        <f t="shared" si="11"/>
        <v>8.3333333333333339</v>
      </c>
      <c r="H46" s="149">
        <f t="shared" si="8"/>
        <v>2.5677083333333321</v>
      </c>
      <c r="I46" s="140">
        <f t="shared" si="6"/>
        <v>2.5677083333333321</v>
      </c>
      <c r="J46" s="140">
        <f t="shared" si="7"/>
        <v>416.66666666666652</v>
      </c>
      <c r="K46" s="140">
        <f t="shared" si="18"/>
        <v>13.34201388888888</v>
      </c>
      <c r="L46" s="140">
        <f t="shared" si="19"/>
        <v>41.666666666666671</v>
      </c>
    </row>
    <row r="47" spans="1:12" x14ac:dyDescent="0.25">
      <c r="A47" s="130">
        <v>38</v>
      </c>
      <c r="B47" s="147"/>
      <c r="C47" s="130" t="s">
        <v>111</v>
      </c>
      <c r="D47" s="140">
        <f t="shared" si="9"/>
        <v>416.66666666666652</v>
      </c>
      <c r="E47" s="148">
        <f t="shared" si="10"/>
        <v>7.2499999999999995E-2</v>
      </c>
      <c r="F47" s="149">
        <f t="shared" si="15"/>
        <v>10.850694444444445</v>
      </c>
      <c r="G47" s="140">
        <f t="shared" si="11"/>
        <v>8.3333333333333339</v>
      </c>
      <c r="H47" s="149">
        <f t="shared" si="8"/>
        <v>2.5173611111111103</v>
      </c>
      <c r="I47" s="140">
        <f t="shared" si="6"/>
        <v>2.5173611111111103</v>
      </c>
      <c r="J47" s="140">
        <f t="shared" si="7"/>
        <v>408.3333333333332</v>
      </c>
      <c r="K47" s="140">
        <f t="shared" si="18"/>
        <v>15.859374999999991</v>
      </c>
      <c r="L47" s="140">
        <f t="shared" si="19"/>
        <v>50.000000000000007</v>
      </c>
    </row>
    <row r="48" spans="1:12" x14ac:dyDescent="0.25">
      <c r="A48" s="130">
        <v>39</v>
      </c>
      <c r="B48" s="147"/>
      <c r="C48" s="130" t="s">
        <v>112</v>
      </c>
      <c r="D48" s="140">
        <f t="shared" si="9"/>
        <v>408.3333333333332</v>
      </c>
      <c r="E48" s="148">
        <f t="shared" si="10"/>
        <v>7.2499999999999995E-2</v>
      </c>
      <c r="F48" s="149">
        <f t="shared" si="15"/>
        <v>10.800347222222221</v>
      </c>
      <c r="G48" s="140">
        <f t="shared" si="11"/>
        <v>8.3333333333333339</v>
      </c>
      <c r="H48" s="149">
        <f t="shared" si="8"/>
        <v>2.467013888888888</v>
      </c>
      <c r="I48" s="140">
        <f t="shared" si="6"/>
        <v>2.467013888888888</v>
      </c>
      <c r="J48" s="140">
        <f t="shared" si="7"/>
        <v>399.99999999999989</v>
      </c>
      <c r="K48" s="140">
        <f t="shared" si="18"/>
        <v>18.326388888888879</v>
      </c>
      <c r="L48" s="140">
        <f t="shared" si="19"/>
        <v>58.333333333333343</v>
      </c>
    </row>
    <row r="49" spans="1:12" x14ac:dyDescent="0.25">
      <c r="A49" s="130">
        <v>40</v>
      </c>
      <c r="B49" s="147"/>
      <c r="C49" s="130" t="s">
        <v>113</v>
      </c>
      <c r="D49" s="140">
        <f t="shared" si="9"/>
        <v>399.99999999999989</v>
      </c>
      <c r="E49" s="148">
        <f t="shared" si="10"/>
        <v>7.2499999999999995E-2</v>
      </c>
      <c r="F49" s="149">
        <f t="shared" si="15"/>
        <v>10.75</v>
      </c>
      <c r="G49" s="140">
        <f t="shared" si="11"/>
        <v>8.3333333333333339</v>
      </c>
      <c r="H49" s="149">
        <f t="shared" si="8"/>
        <v>2.4166666666666656</v>
      </c>
      <c r="I49" s="140">
        <f t="shared" si="6"/>
        <v>2.4166666666666656</v>
      </c>
      <c r="J49" s="140">
        <f t="shared" si="7"/>
        <v>391.66666666666657</v>
      </c>
      <c r="K49" s="140">
        <f t="shared" si="18"/>
        <v>20.743055555555543</v>
      </c>
      <c r="L49" s="140">
        <f t="shared" si="19"/>
        <v>66.666666666666671</v>
      </c>
    </row>
    <row r="50" spans="1:12" x14ac:dyDescent="0.25">
      <c r="A50" s="130">
        <v>41</v>
      </c>
      <c r="B50" s="147"/>
      <c r="C50" s="130" t="s">
        <v>114</v>
      </c>
      <c r="D50" s="140">
        <f t="shared" si="9"/>
        <v>391.66666666666657</v>
      </c>
      <c r="E50" s="148">
        <f t="shared" si="10"/>
        <v>7.2499999999999995E-2</v>
      </c>
      <c r="F50" s="149">
        <f t="shared" si="15"/>
        <v>10.699652777777779</v>
      </c>
      <c r="G50" s="140">
        <f t="shared" si="11"/>
        <v>8.3333333333333339</v>
      </c>
      <c r="H50" s="149">
        <f t="shared" si="8"/>
        <v>2.3663194444444438</v>
      </c>
      <c r="I50" s="140">
        <f t="shared" si="6"/>
        <v>2.3663194444444438</v>
      </c>
      <c r="J50" s="140">
        <f t="shared" si="7"/>
        <v>383.33333333333326</v>
      </c>
      <c r="K50" s="140">
        <f t="shared" si="18"/>
        <v>23.109374999999986</v>
      </c>
      <c r="L50" s="140">
        <f t="shared" si="19"/>
        <v>75</v>
      </c>
    </row>
    <row r="51" spans="1:12" x14ac:dyDescent="0.25">
      <c r="A51" s="130">
        <v>42</v>
      </c>
      <c r="B51" s="147"/>
      <c r="C51" s="130" t="s">
        <v>115</v>
      </c>
      <c r="D51" s="140">
        <f t="shared" si="9"/>
        <v>383.33333333333326</v>
      </c>
      <c r="E51" s="148">
        <f t="shared" si="10"/>
        <v>7.2499999999999995E-2</v>
      </c>
      <c r="F51" s="149">
        <f t="shared" si="15"/>
        <v>10.649305555555555</v>
      </c>
      <c r="G51" s="140">
        <f t="shared" si="11"/>
        <v>8.3333333333333339</v>
      </c>
      <c r="H51" s="149">
        <f t="shared" si="8"/>
        <v>2.3159722222222219</v>
      </c>
      <c r="I51" s="140">
        <f t="shared" si="6"/>
        <v>2.3159722222222219</v>
      </c>
      <c r="J51" s="140">
        <f t="shared" si="7"/>
        <v>374.99999999999994</v>
      </c>
      <c r="K51" s="140">
        <f t="shared" si="18"/>
        <v>25.425347222222207</v>
      </c>
      <c r="L51" s="140">
        <f t="shared" si="19"/>
        <v>83.333333333333329</v>
      </c>
    </row>
    <row r="52" spans="1:12" x14ac:dyDescent="0.25">
      <c r="A52" s="130">
        <v>43</v>
      </c>
      <c r="B52" s="147"/>
      <c r="C52" s="130" t="s">
        <v>116</v>
      </c>
      <c r="D52" s="140">
        <f t="shared" si="9"/>
        <v>374.99999999999994</v>
      </c>
      <c r="E52" s="148">
        <f t="shared" si="10"/>
        <v>7.2499999999999995E-2</v>
      </c>
      <c r="F52" s="149">
        <f t="shared" si="15"/>
        <v>10.598958333333334</v>
      </c>
      <c r="G52" s="140">
        <f t="shared" si="11"/>
        <v>8.3333333333333339</v>
      </c>
      <c r="H52" s="149">
        <f t="shared" si="8"/>
        <v>2.2656249999999996</v>
      </c>
      <c r="I52" s="140">
        <f t="shared" si="6"/>
        <v>2.2656249999999996</v>
      </c>
      <c r="J52" s="140">
        <f t="shared" si="7"/>
        <v>366.66666666666663</v>
      </c>
      <c r="K52" s="140">
        <f t="shared" si="18"/>
        <v>27.690972222222207</v>
      </c>
      <c r="L52" s="140">
        <f t="shared" si="19"/>
        <v>91.666666666666657</v>
      </c>
    </row>
    <row r="53" spans="1:12" x14ac:dyDescent="0.25">
      <c r="A53" s="130">
        <v>44</v>
      </c>
      <c r="B53" s="147"/>
      <c r="C53" s="130" t="s">
        <v>117</v>
      </c>
      <c r="D53" s="140">
        <f t="shared" si="9"/>
        <v>366.66666666666663</v>
      </c>
      <c r="E53" s="148">
        <f t="shared" si="10"/>
        <v>7.2499999999999995E-2</v>
      </c>
      <c r="F53" s="149">
        <f t="shared" si="15"/>
        <v>10.548611111111111</v>
      </c>
      <c r="G53" s="140">
        <f t="shared" si="11"/>
        <v>8.3333333333333339</v>
      </c>
      <c r="H53" s="149">
        <f t="shared" si="8"/>
        <v>2.2152777777777772</v>
      </c>
      <c r="I53" s="140">
        <f t="shared" si="6"/>
        <v>2.2152777777777772</v>
      </c>
      <c r="J53" s="140">
        <f t="shared" si="7"/>
        <v>358.33333333333331</v>
      </c>
      <c r="K53" s="150">
        <f t="shared" si="18"/>
        <v>29.906249999999986</v>
      </c>
      <c r="L53" s="150">
        <f t="shared" si="19"/>
        <v>99.999999999999986</v>
      </c>
    </row>
    <row r="54" spans="1:12" x14ac:dyDescent="0.25">
      <c r="A54" s="130">
        <v>45</v>
      </c>
      <c r="B54" s="147" t="s">
        <v>61</v>
      </c>
      <c r="C54" s="130" t="s">
        <v>188</v>
      </c>
      <c r="D54" s="140">
        <f t="shared" si="9"/>
        <v>358.33333333333331</v>
      </c>
      <c r="E54" s="148">
        <f t="shared" si="10"/>
        <v>7.2499999999999995E-2</v>
      </c>
      <c r="F54" s="149">
        <f>G54+H54</f>
        <v>10.498263888888889</v>
      </c>
      <c r="G54" s="140">
        <f t="shared" si="11"/>
        <v>8.3333333333333339</v>
      </c>
      <c r="H54" s="149">
        <f t="shared" si="8"/>
        <v>2.1649305555555554</v>
      </c>
      <c r="I54" s="140">
        <f t="shared" si="6"/>
        <v>2.1649305555555554</v>
      </c>
      <c r="J54" s="140">
        <f t="shared" si="7"/>
        <v>350</v>
      </c>
      <c r="K54" s="140">
        <f>I54</f>
        <v>2.1649305555555554</v>
      </c>
      <c r="L54" s="140">
        <f>G54</f>
        <v>8.3333333333333339</v>
      </c>
    </row>
    <row r="55" spans="1:12" x14ac:dyDescent="0.25">
      <c r="A55" s="130">
        <v>46</v>
      </c>
      <c r="B55" s="147"/>
      <c r="C55" s="130" t="s">
        <v>109</v>
      </c>
      <c r="D55" s="140">
        <f t="shared" si="9"/>
        <v>350</v>
      </c>
      <c r="E55" s="148">
        <f t="shared" si="10"/>
        <v>7.2499999999999995E-2</v>
      </c>
      <c r="F55" s="149">
        <f t="shared" si="15"/>
        <v>10.447916666666668</v>
      </c>
      <c r="G55" s="140">
        <f t="shared" si="11"/>
        <v>8.3333333333333339</v>
      </c>
      <c r="H55" s="149">
        <f t="shared" si="8"/>
        <v>2.1145833333333335</v>
      </c>
      <c r="I55" s="140">
        <f t="shared" si="6"/>
        <v>2.1145833333333335</v>
      </c>
      <c r="J55" s="140">
        <f t="shared" si="7"/>
        <v>341.66666666666669</v>
      </c>
      <c r="K55" s="140">
        <f>I55+K54</f>
        <v>4.2795138888888893</v>
      </c>
      <c r="L55" s="140">
        <f>G55+L54</f>
        <v>16.666666666666668</v>
      </c>
    </row>
    <row r="56" spans="1:12" x14ac:dyDescent="0.25">
      <c r="A56" s="130">
        <v>47</v>
      </c>
      <c r="B56" s="147"/>
      <c r="C56" s="130" t="s">
        <v>189</v>
      </c>
      <c r="D56" s="140">
        <f t="shared" si="9"/>
        <v>341.66666666666669</v>
      </c>
      <c r="E56" s="148">
        <f t="shared" si="10"/>
        <v>7.2499999999999995E-2</v>
      </c>
      <c r="F56" s="149">
        <f t="shared" si="15"/>
        <v>10.397569444444445</v>
      </c>
      <c r="G56" s="140">
        <f t="shared" si="11"/>
        <v>8.3333333333333339</v>
      </c>
      <c r="H56" s="149">
        <f t="shared" si="8"/>
        <v>2.0642361111111112</v>
      </c>
      <c r="I56" s="140">
        <f t="shared" si="6"/>
        <v>2.0642361111111112</v>
      </c>
      <c r="J56" s="140">
        <f t="shared" si="7"/>
        <v>333.33333333333337</v>
      </c>
      <c r="K56" s="140">
        <f t="shared" ref="K56:K65" si="20">I56+K55</f>
        <v>6.34375</v>
      </c>
      <c r="L56" s="140">
        <f t="shared" ref="L56:L65" si="21">G56+L55</f>
        <v>25</v>
      </c>
    </row>
    <row r="57" spans="1:12" x14ac:dyDescent="0.25">
      <c r="A57" s="130">
        <v>48</v>
      </c>
      <c r="B57" s="147"/>
      <c r="C57" s="130" t="s">
        <v>190</v>
      </c>
      <c r="D57" s="140">
        <f t="shared" si="9"/>
        <v>333.33333333333337</v>
      </c>
      <c r="E57" s="148">
        <f t="shared" si="10"/>
        <v>7.2499999999999995E-2</v>
      </c>
      <c r="F57" s="149">
        <f t="shared" si="15"/>
        <v>10.347222222222223</v>
      </c>
      <c r="G57" s="140">
        <f t="shared" si="11"/>
        <v>8.3333333333333339</v>
      </c>
      <c r="H57" s="149">
        <f t="shared" si="8"/>
        <v>2.0138888888888888</v>
      </c>
      <c r="I57" s="140">
        <f t="shared" si="6"/>
        <v>2.0138888888888888</v>
      </c>
      <c r="J57" s="140">
        <f t="shared" si="7"/>
        <v>325.00000000000006</v>
      </c>
      <c r="K57" s="140">
        <f t="shared" si="20"/>
        <v>8.3576388888888893</v>
      </c>
      <c r="L57" s="140">
        <f t="shared" si="21"/>
        <v>33.333333333333336</v>
      </c>
    </row>
    <row r="58" spans="1:12" x14ac:dyDescent="0.25">
      <c r="A58" s="130">
        <v>49</v>
      </c>
      <c r="B58" s="147"/>
      <c r="C58" s="130" t="s">
        <v>110</v>
      </c>
      <c r="D58" s="140">
        <f t="shared" si="9"/>
        <v>325.00000000000006</v>
      </c>
      <c r="E58" s="148">
        <f t="shared" si="10"/>
        <v>7.2499999999999995E-2</v>
      </c>
      <c r="F58" s="149">
        <f t="shared" si="15"/>
        <v>10.296875</v>
      </c>
      <c r="G58" s="140">
        <f t="shared" si="11"/>
        <v>8.3333333333333339</v>
      </c>
      <c r="H58" s="149">
        <f t="shared" si="8"/>
        <v>1.963541666666667</v>
      </c>
      <c r="I58" s="140">
        <f t="shared" si="6"/>
        <v>1.963541666666667</v>
      </c>
      <c r="J58" s="140">
        <f t="shared" si="7"/>
        <v>316.66666666666674</v>
      </c>
      <c r="K58" s="140">
        <f t="shared" si="20"/>
        <v>10.321180555555557</v>
      </c>
      <c r="L58" s="140">
        <f t="shared" si="21"/>
        <v>41.666666666666671</v>
      </c>
    </row>
    <row r="59" spans="1:12" x14ac:dyDescent="0.25">
      <c r="A59" s="130">
        <v>50</v>
      </c>
      <c r="B59" s="147"/>
      <c r="C59" s="130" t="s">
        <v>111</v>
      </c>
      <c r="D59" s="140">
        <f t="shared" si="9"/>
        <v>316.66666666666674</v>
      </c>
      <c r="E59" s="148">
        <f t="shared" si="10"/>
        <v>7.2499999999999995E-2</v>
      </c>
      <c r="F59" s="149">
        <f t="shared" si="15"/>
        <v>10.246527777777779</v>
      </c>
      <c r="G59" s="140">
        <f t="shared" si="11"/>
        <v>8.3333333333333339</v>
      </c>
      <c r="H59" s="149">
        <f t="shared" si="8"/>
        <v>1.9131944444444446</v>
      </c>
      <c r="I59" s="140">
        <f t="shared" si="6"/>
        <v>1.9131944444444446</v>
      </c>
      <c r="J59" s="140">
        <f t="shared" si="7"/>
        <v>308.33333333333343</v>
      </c>
      <c r="K59" s="140">
        <f t="shared" si="20"/>
        <v>12.234375000000002</v>
      </c>
      <c r="L59" s="140">
        <f t="shared" si="21"/>
        <v>50.000000000000007</v>
      </c>
    </row>
    <row r="60" spans="1:12" x14ac:dyDescent="0.25">
      <c r="A60" s="130">
        <v>51</v>
      </c>
      <c r="B60" s="147"/>
      <c r="C60" s="130" t="s">
        <v>112</v>
      </c>
      <c r="D60" s="140">
        <f t="shared" si="9"/>
        <v>308.33333333333343</v>
      </c>
      <c r="E60" s="148">
        <f t="shared" si="10"/>
        <v>7.2499999999999995E-2</v>
      </c>
      <c r="F60" s="149">
        <f t="shared" si="15"/>
        <v>10.196180555555557</v>
      </c>
      <c r="G60" s="140">
        <f t="shared" si="11"/>
        <v>8.3333333333333339</v>
      </c>
      <c r="H60" s="149">
        <f t="shared" si="8"/>
        <v>1.8628472222222225</v>
      </c>
      <c r="I60" s="140">
        <f t="shared" si="6"/>
        <v>1.8628472222222225</v>
      </c>
      <c r="J60" s="140">
        <f t="shared" si="7"/>
        <v>300.00000000000011</v>
      </c>
      <c r="K60" s="140">
        <f t="shared" si="20"/>
        <v>14.097222222222225</v>
      </c>
      <c r="L60" s="140">
        <f t="shared" si="21"/>
        <v>58.333333333333343</v>
      </c>
    </row>
    <row r="61" spans="1:12" x14ac:dyDescent="0.25">
      <c r="A61" s="130">
        <v>52</v>
      </c>
      <c r="B61" s="147"/>
      <c r="C61" s="130" t="s">
        <v>113</v>
      </c>
      <c r="D61" s="140">
        <f t="shared" si="9"/>
        <v>300.00000000000011</v>
      </c>
      <c r="E61" s="148">
        <f t="shared" si="10"/>
        <v>7.2499999999999995E-2</v>
      </c>
      <c r="F61" s="149">
        <f t="shared" si="15"/>
        <v>10.145833333333334</v>
      </c>
      <c r="G61" s="140">
        <f t="shared" si="11"/>
        <v>8.3333333333333339</v>
      </c>
      <c r="H61" s="149">
        <f t="shared" si="8"/>
        <v>1.8125000000000007</v>
      </c>
      <c r="I61" s="140">
        <f t="shared" si="6"/>
        <v>1.8125000000000007</v>
      </c>
      <c r="J61" s="140">
        <f t="shared" si="7"/>
        <v>291.6666666666668</v>
      </c>
      <c r="K61" s="140">
        <f t="shared" si="20"/>
        <v>15.909722222222225</v>
      </c>
      <c r="L61" s="140">
        <f t="shared" si="21"/>
        <v>66.666666666666671</v>
      </c>
    </row>
    <row r="62" spans="1:12" x14ac:dyDescent="0.25">
      <c r="A62" s="130">
        <v>53</v>
      </c>
      <c r="B62" s="147"/>
      <c r="C62" s="130" t="s">
        <v>114</v>
      </c>
      <c r="D62" s="140">
        <f t="shared" si="9"/>
        <v>291.6666666666668</v>
      </c>
      <c r="E62" s="148">
        <f t="shared" si="10"/>
        <v>7.2499999999999995E-2</v>
      </c>
      <c r="F62" s="149">
        <f t="shared" si="15"/>
        <v>10.095486111111112</v>
      </c>
      <c r="G62" s="140">
        <f t="shared" si="11"/>
        <v>8.3333333333333339</v>
      </c>
      <c r="H62" s="149">
        <f t="shared" si="8"/>
        <v>1.7621527777777786</v>
      </c>
      <c r="I62" s="140">
        <f t="shared" si="6"/>
        <v>1.7621527777777786</v>
      </c>
      <c r="J62" s="140">
        <f t="shared" si="7"/>
        <v>283.33333333333348</v>
      </c>
      <c r="K62" s="140">
        <f t="shared" si="20"/>
        <v>17.671875000000004</v>
      </c>
      <c r="L62" s="140">
        <f t="shared" si="21"/>
        <v>75</v>
      </c>
    </row>
    <row r="63" spans="1:12" x14ac:dyDescent="0.25">
      <c r="A63" s="130">
        <v>54</v>
      </c>
      <c r="B63" s="147"/>
      <c r="C63" s="130" t="s">
        <v>115</v>
      </c>
      <c r="D63" s="140">
        <f t="shared" si="9"/>
        <v>283.33333333333348</v>
      </c>
      <c r="E63" s="148">
        <f t="shared" si="10"/>
        <v>7.2499999999999995E-2</v>
      </c>
      <c r="F63" s="149">
        <f t="shared" si="15"/>
        <v>10.045138888888889</v>
      </c>
      <c r="G63" s="140">
        <f t="shared" si="11"/>
        <v>8.3333333333333339</v>
      </c>
      <c r="H63" s="149">
        <f t="shared" si="8"/>
        <v>1.7118055555555562</v>
      </c>
      <c r="I63" s="140">
        <f t="shared" si="6"/>
        <v>1.7118055555555562</v>
      </c>
      <c r="J63" s="140">
        <f t="shared" si="7"/>
        <v>275.00000000000017</v>
      </c>
      <c r="K63" s="140">
        <f t="shared" si="20"/>
        <v>19.383680555555561</v>
      </c>
      <c r="L63" s="140">
        <f t="shared" si="21"/>
        <v>83.333333333333329</v>
      </c>
    </row>
    <row r="64" spans="1:12" x14ac:dyDescent="0.25">
      <c r="A64" s="130">
        <v>55</v>
      </c>
      <c r="B64" s="147"/>
      <c r="C64" s="130" t="s">
        <v>116</v>
      </c>
      <c r="D64" s="140">
        <f t="shared" si="9"/>
        <v>275.00000000000017</v>
      </c>
      <c r="E64" s="148">
        <f t="shared" si="10"/>
        <v>7.2499999999999995E-2</v>
      </c>
      <c r="F64" s="149">
        <f t="shared" si="15"/>
        <v>9.9947916666666679</v>
      </c>
      <c r="G64" s="140">
        <f t="shared" si="11"/>
        <v>8.3333333333333339</v>
      </c>
      <c r="H64" s="149">
        <f t="shared" si="8"/>
        <v>1.6614583333333341</v>
      </c>
      <c r="I64" s="140">
        <f t="shared" si="6"/>
        <v>1.6614583333333341</v>
      </c>
      <c r="J64" s="140">
        <f t="shared" si="7"/>
        <v>266.66666666666686</v>
      </c>
      <c r="K64" s="140">
        <f t="shared" si="20"/>
        <v>21.045138888888896</v>
      </c>
      <c r="L64" s="140">
        <f t="shared" si="21"/>
        <v>91.666666666666657</v>
      </c>
    </row>
    <row r="65" spans="1:12" x14ac:dyDescent="0.25">
      <c r="A65" s="130">
        <v>56</v>
      </c>
      <c r="B65" s="147"/>
      <c r="C65" s="130" t="s">
        <v>117</v>
      </c>
      <c r="D65" s="140">
        <f t="shared" si="9"/>
        <v>266.66666666666686</v>
      </c>
      <c r="E65" s="148">
        <f t="shared" si="10"/>
        <v>7.2499999999999995E-2</v>
      </c>
      <c r="F65" s="149">
        <f t="shared" si="15"/>
        <v>9.9444444444444464</v>
      </c>
      <c r="G65" s="140">
        <f t="shared" si="11"/>
        <v>8.3333333333333339</v>
      </c>
      <c r="H65" s="149">
        <f t="shared" si="8"/>
        <v>1.6111111111111123</v>
      </c>
      <c r="I65" s="140">
        <f t="shared" si="6"/>
        <v>1.6111111111111123</v>
      </c>
      <c r="J65" s="140">
        <f t="shared" si="7"/>
        <v>258.33333333333354</v>
      </c>
      <c r="K65" s="150">
        <f t="shared" si="20"/>
        <v>22.656250000000007</v>
      </c>
      <c r="L65" s="150">
        <f t="shared" si="21"/>
        <v>99.999999999999986</v>
      </c>
    </row>
    <row r="66" spans="1:12" x14ac:dyDescent="0.25">
      <c r="A66" s="130">
        <v>57</v>
      </c>
      <c r="B66" s="147" t="s">
        <v>79</v>
      </c>
      <c r="C66" s="130" t="s">
        <v>188</v>
      </c>
      <c r="D66" s="140">
        <f t="shared" si="9"/>
        <v>258.33333333333354</v>
      </c>
      <c r="E66" s="148">
        <f t="shared" si="10"/>
        <v>7.2499999999999995E-2</v>
      </c>
      <c r="F66" s="149">
        <f>G66+H66</f>
        <v>9.894097222222225</v>
      </c>
      <c r="G66" s="140">
        <f t="shared" si="11"/>
        <v>8.3333333333333339</v>
      </c>
      <c r="H66" s="149">
        <f t="shared" si="8"/>
        <v>1.5607638888888902</v>
      </c>
      <c r="I66" s="140">
        <f t="shared" si="6"/>
        <v>1.5607638888888902</v>
      </c>
      <c r="J66" s="140">
        <f t="shared" si="7"/>
        <v>250.0000000000002</v>
      </c>
      <c r="K66" s="140">
        <f>I66</f>
        <v>1.5607638888888902</v>
      </c>
      <c r="L66" s="140">
        <f>G66</f>
        <v>8.3333333333333339</v>
      </c>
    </row>
    <row r="67" spans="1:12" x14ac:dyDescent="0.25">
      <c r="A67" s="130">
        <v>58</v>
      </c>
      <c r="B67" s="147"/>
      <c r="C67" s="130" t="s">
        <v>109</v>
      </c>
      <c r="D67" s="140">
        <f t="shared" si="9"/>
        <v>250.0000000000002</v>
      </c>
      <c r="E67" s="148">
        <f t="shared" si="10"/>
        <v>7.2499999999999995E-2</v>
      </c>
      <c r="F67" s="149">
        <f t="shared" si="15"/>
        <v>9.8437500000000018</v>
      </c>
      <c r="G67" s="140">
        <f t="shared" si="11"/>
        <v>8.3333333333333339</v>
      </c>
      <c r="H67" s="149">
        <f t="shared" si="8"/>
        <v>1.5104166666666679</v>
      </c>
      <c r="I67" s="140">
        <f t="shared" si="6"/>
        <v>1.5104166666666679</v>
      </c>
      <c r="J67" s="140">
        <f t="shared" si="7"/>
        <v>241.66666666666686</v>
      </c>
      <c r="K67" s="140">
        <f>I67+K66</f>
        <v>3.071180555555558</v>
      </c>
      <c r="L67" s="140">
        <f>G67+L66</f>
        <v>16.666666666666668</v>
      </c>
    </row>
    <row r="68" spans="1:12" x14ac:dyDescent="0.25">
      <c r="A68" s="130">
        <v>59</v>
      </c>
      <c r="B68" s="147"/>
      <c r="C68" s="130" t="s">
        <v>189</v>
      </c>
      <c r="D68" s="140">
        <f t="shared" si="9"/>
        <v>241.66666666666686</v>
      </c>
      <c r="E68" s="148">
        <f t="shared" si="10"/>
        <v>7.2499999999999995E-2</v>
      </c>
      <c r="F68" s="149">
        <f t="shared" si="15"/>
        <v>9.7934027777777786</v>
      </c>
      <c r="G68" s="140">
        <f t="shared" si="11"/>
        <v>8.3333333333333339</v>
      </c>
      <c r="H68" s="149">
        <f t="shared" si="8"/>
        <v>1.4600694444444455</v>
      </c>
      <c r="I68" s="140">
        <f t="shared" si="6"/>
        <v>1.4600694444444455</v>
      </c>
      <c r="J68" s="140">
        <f t="shared" si="7"/>
        <v>233.33333333333351</v>
      </c>
      <c r="K68" s="140">
        <f t="shared" ref="K68:K77" si="22">I68+K67</f>
        <v>4.5312500000000036</v>
      </c>
      <c r="L68" s="140">
        <f t="shared" ref="L68:L77" si="23">G68+L67</f>
        <v>25</v>
      </c>
    </row>
    <row r="69" spans="1:12" x14ac:dyDescent="0.25">
      <c r="A69" s="130">
        <v>60</v>
      </c>
      <c r="B69" s="147"/>
      <c r="C69" s="130" t="s">
        <v>190</v>
      </c>
      <c r="D69" s="140">
        <f t="shared" si="9"/>
        <v>233.33333333333351</v>
      </c>
      <c r="E69" s="148">
        <f t="shared" si="10"/>
        <v>7.2499999999999995E-2</v>
      </c>
      <c r="F69" s="149">
        <f t="shared" si="15"/>
        <v>9.7430555555555571</v>
      </c>
      <c r="G69" s="140">
        <f t="shared" si="11"/>
        <v>8.3333333333333339</v>
      </c>
      <c r="H69" s="149">
        <f t="shared" si="8"/>
        <v>1.4097222222222232</v>
      </c>
      <c r="I69" s="140">
        <f t="shared" si="6"/>
        <v>1.4097222222222232</v>
      </c>
      <c r="J69" s="140">
        <f t="shared" si="7"/>
        <v>225.00000000000017</v>
      </c>
      <c r="K69" s="140">
        <f t="shared" si="22"/>
        <v>5.9409722222222268</v>
      </c>
      <c r="L69" s="140">
        <f t="shared" si="23"/>
        <v>33.333333333333336</v>
      </c>
    </row>
    <row r="70" spans="1:12" x14ac:dyDescent="0.25">
      <c r="A70" s="130">
        <v>61</v>
      </c>
      <c r="B70" s="147"/>
      <c r="C70" s="130" t="s">
        <v>110</v>
      </c>
      <c r="D70" s="140">
        <f t="shared" si="9"/>
        <v>225.00000000000017</v>
      </c>
      <c r="E70" s="148">
        <f t="shared" si="10"/>
        <v>7.2499999999999995E-2</v>
      </c>
      <c r="F70" s="149">
        <f t="shared" si="15"/>
        <v>9.6927083333333357</v>
      </c>
      <c r="G70" s="140">
        <f t="shared" si="11"/>
        <v>8.3333333333333339</v>
      </c>
      <c r="H70" s="149">
        <f t="shared" si="8"/>
        <v>1.3593750000000009</v>
      </c>
      <c r="I70" s="140">
        <f t="shared" si="6"/>
        <v>1.3593750000000009</v>
      </c>
      <c r="J70" s="140">
        <f t="shared" si="7"/>
        <v>216.66666666666683</v>
      </c>
      <c r="K70" s="140">
        <f t="shared" si="22"/>
        <v>7.3003472222222276</v>
      </c>
      <c r="L70" s="140">
        <f t="shared" si="23"/>
        <v>41.666666666666671</v>
      </c>
    </row>
    <row r="71" spans="1:12" x14ac:dyDescent="0.25">
      <c r="A71" s="130">
        <v>62</v>
      </c>
      <c r="B71" s="147"/>
      <c r="C71" s="130" t="s">
        <v>111</v>
      </c>
      <c r="D71" s="140">
        <f t="shared" si="9"/>
        <v>216.66666666666683</v>
      </c>
      <c r="E71" s="148">
        <f t="shared" si="10"/>
        <v>7.2499999999999995E-2</v>
      </c>
      <c r="F71" s="149">
        <f t="shared" si="15"/>
        <v>9.6423611111111125</v>
      </c>
      <c r="G71" s="140">
        <f t="shared" si="11"/>
        <v>8.3333333333333339</v>
      </c>
      <c r="H71" s="149">
        <f t="shared" si="8"/>
        <v>1.3090277777777788</v>
      </c>
      <c r="I71" s="140">
        <f t="shared" si="6"/>
        <v>1.3090277777777788</v>
      </c>
      <c r="J71" s="140">
        <f t="shared" si="7"/>
        <v>208.33333333333348</v>
      </c>
      <c r="K71" s="140">
        <f t="shared" si="22"/>
        <v>8.6093750000000071</v>
      </c>
      <c r="L71" s="140">
        <f t="shared" si="23"/>
        <v>50.000000000000007</v>
      </c>
    </row>
    <row r="72" spans="1:12" x14ac:dyDescent="0.25">
      <c r="A72" s="130">
        <v>63</v>
      </c>
      <c r="B72" s="147"/>
      <c r="C72" s="130" t="s">
        <v>112</v>
      </c>
      <c r="D72" s="140">
        <f t="shared" si="9"/>
        <v>208.33333333333348</v>
      </c>
      <c r="E72" s="148">
        <f t="shared" si="10"/>
        <v>7.2499999999999995E-2</v>
      </c>
      <c r="F72" s="149">
        <f t="shared" si="15"/>
        <v>9.5920138888888911</v>
      </c>
      <c r="G72" s="140">
        <f t="shared" si="11"/>
        <v>8.3333333333333339</v>
      </c>
      <c r="H72" s="149">
        <f t="shared" si="8"/>
        <v>1.2586805555555565</v>
      </c>
      <c r="I72" s="140">
        <f t="shared" si="6"/>
        <v>1.2586805555555565</v>
      </c>
      <c r="J72" s="140">
        <f t="shared" si="7"/>
        <v>200.00000000000014</v>
      </c>
      <c r="K72" s="140">
        <f t="shared" si="22"/>
        <v>9.8680555555555642</v>
      </c>
      <c r="L72" s="140">
        <f t="shared" si="23"/>
        <v>58.333333333333343</v>
      </c>
    </row>
    <row r="73" spans="1:12" x14ac:dyDescent="0.25">
      <c r="A73" s="130">
        <v>64</v>
      </c>
      <c r="B73" s="147"/>
      <c r="C73" s="130" t="s">
        <v>113</v>
      </c>
      <c r="D73" s="140">
        <f t="shared" si="9"/>
        <v>200.00000000000014</v>
      </c>
      <c r="E73" s="148">
        <f t="shared" si="10"/>
        <v>7.2499999999999995E-2</v>
      </c>
      <c r="F73" s="149">
        <f t="shared" si="15"/>
        <v>9.5416666666666679</v>
      </c>
      <c r="G73" s="140">
        <f t="shared" si="11"/>
        <v>8.3333333333333339</v>
      </c>
      <c r="H73" s="149">
        <f t="shared" si="8"/>
        <v>1.2083333333333341</v>
      </c>
      <c r="I73" s="140">
        <f t="shared" si="6"/>
        <v>1.2083333333333341</v>
      </c>
      <c r="J73" s="140">
        <f t="shared" si="7"/>
        <v>191.6666666666668</v>
      </c>
      <c r="K73" s="140">
        <f t="shared" si="22"/>
        <v>11.076388888888898</v>
      </c>
      <c r="L73" s="140">
        <f t="shared" si="23"/>
        <v>66.666666666666671</v>
      </c>
    </row>
    <row r="74" spans="1:12" x14ac:dyDescent="0.25">
      <c r="A74" s="130">
        <v>65</v>
      </c>
      <c r="B74" s="147"/>
      <c r="C74" s="130" t="s">
        <v>114</v>
      </c>
      <c r="D74" s="140">
        <f t="shared" si="9"/>
        <v>191.6666666666668</v>
      </c>
      <c r="E74" s="148">
        <f t="shared" si="10"/>
        <v>7.2499999999999995E-2</v>
      </c>
      <c r="F74" s="149">
        <f t="shared" si="15"/>
        <v>9.4913194444444464</v>
      </c>
      <c r="G74" s="140">
        <f t="shared" si="11"/>
        <v>8.3333333333333339</v>
      </c>
      <c r="H74" s="149">
        <f t="shared" si="8"/>
        <v>1.1579861111111118</v>
      </c>
      <c r="I74" s="140">
        <f t="shared" si="6"/>
        <v>1.1579861111111118</v>
      </c>
      <c r="J74" s="140">
        <f t="shared" si="7"/>
        <v>183.33333333333346</v>
      </c>
      <c r="K74" s="140">
        <f t="shared" si="22"/>
        <v>12.234375000000011</v>
      </c>
      <c r="L74" s="140">
        <f t="shared" si="23"/>
        <v>75</v>
      </c>
    </row>
    <row r="75" spans="1:12" x14ac:dyDescent="0.25">
      <c r="A75" s="130">
        <v>66</v>
      </c>
      <c r="B75" s="147"/>
      <c r="C75" s="130" t="s">
        <v>115</v>
      </c>
      <c r="D75" s="140">
        <f t="shared" si="9"/>
        <v>183.33333333333346</v>
      </c>
      <c r="E75" s="148">
        <f t="shared" si="10"/>
        <v>7.2499999999999995E-2</v>
      </c>
      <c r="F75" s="149">
        <f t="shared" si="15"/>
        <v>9.4409722222222232</v>
      </c>
      <c r="G75" s="140">
        <f t="shared" si="11"/>
        <v>8.3333333333333339</v>
      </c>
      <c r="H75" s="149">
        <f t="shared" si="8"/>
        <v>1.1076388888888895</v>
      </c>
      <c r="I75" s="140">
        <f t="shared" si="6"/>
        <v>1.1076388888888895</v>
      </c>
      <c r="J75" s="140">
        <f t="shared" si="7"/>
        <v>175.00000000000011</v>
      </c>
      <c r="K75" s="140">
        <f t="shared" si="22"/>
        <v>13.3420138888889</v>
      </c>
      <c r="L75" s="140">
        <f t="shared" si="23"/>
        <v>83.333333333333329</v>
      </c>
    </row>
    <row r="76" spans="1:12" x14ac:dyDescent="0.25">
      <c r="A76" s="130">
        <v>67</v>
      </c>
      <c r="B76" s="147"/>
      <c r="C76" s="130" t="s">
        <v>116</v>
      </c>
      <c r="D76" s="140">
        <f t="shared" si="9"/>
        <v>175.00000000000011</v>
      </c>
      <c r="E76" s="148">
        <f t="shared" si="10"/>
        <v>7.2499999999999995E-2</v>
      </c>
      <c r="F76" s="149">
        <f t="shared" si="15"/>
        <v>9.3906250000000018</v>
      </c>
      <c r="G76" s="140">
        <f t="shared" si="11"/>
        <v>8.3333333333333339</v>
      </c>
      <c r="H76" s="149">
        <f t="shared" si="8"/>
        <v>1.0572916666666672</v>
      </c>
      <c r="I76" s="140">
        <f t="shared" si="6"/>
        <v>1.0572916666666672</v>
      </c>
      <c r="J76" s="140">
        <f t="shared" si="7"/>
        <v>166.66666666666677</v>
      </c>
      <c r="K76" s="140">
        <f t="shared" si="22"/>
        <v>14.399305555555568</v>
      </c>
      <c r="L76" s="140">
        <f t="shared" si="23"/>
        <v>91.666666666666657</v>
      </c>
    </row>
    <row r="77" spans="1:12" x14ac:dyDescent="0.25">
      <c r="A77" s="130">
        <v>68</v>
      </c>
      <c r="B77" s="147"/>
      <c r="C77" s="130" t="s">
        <v>117</v>
      </c>
      <c r="D77" s="140">
        <f t="shared" si="9"/>
        <v>166.66666666666677</v>
      </c>
      <c r="E77" s="148">
        <f t="shared" si="10"/>
        <v>7.2499999999999995E-2</v>
      </c>
      <c r="F77" s="149">
        <f t="shared" si="15"/>
        <v>9.3402777777777786</v>
      </c>
      <c r="G77" s="140">
        <f t="shared" si="11"/>
        <v>8.3333333333333339</v>
      </c>
      <c r="H77" s="149">
        <f t="shared" si="8"/>
        <v>1.0069444444444449</v>
      </c>
      <c r="I77" s="140">
        <f t="shared" si="6"/>
        <v>1.0069444444444449</v>
      </c>
      <c r="J77" s="140">
        <f t="shared" si="7"/>
        <v>158.33333333333343</v>
      </c>
      <c r="K77" s="150">
        <f t="shared" si="22"/>
        <v>15.406250000000012</v>
      </c>
      <c r="L77" s="150">
        <f t="shared" si="23"/>
        <v>99.999999999999986</v>
      </c>
    </row>
    <row r="78" spans="1:12" x14ac:dyDescent="0.25">
      <c r="A78" s="130">
        <v>69</v>
      </c>
      <c r="B78" s="147" t="s">
        <v>81</v>
      </c>
      <c r="C78" s="130" t="s">
        <v>188</v>
      </c>
      <c r="D78" s="140">
        <f t="shared" si="9"/>
        <v>158.33333333333343</v>
      </c>
      <c r="E78" s="148">
        <f t="shared" si="10"/>
        <v>7.2499999999999995E-2</v>
      </c>
      <c r="F78" s="149">
        <f>G78+H78</f>
        <v>9.2899305555555571</v>
      </c>
      <c r="G78" s="140">
        <f t="shared" si="11"/>
        <v>8.3333333333333339</v>
      </c>
      <c r="H78" s="149">
        <f t="shared" si="8"/>
        <v>0.95659722222222276</v>
      </c>
      <c r="I78" s="140">
        <f t="shared" si="6"/>
        <v>0.95659722222222276</v>
      </c>
      <c r="J78" s="140">
        <f t="shared" si="7"/>
        <v>150.00000000000009</v>
      </c>
      <c r="K78" s="140">
        <f>I78</f>
        <v>0.95659722222222276</v>
      </c>
      <c r="L78" s="140">
        <f>G78</f>
        <v>8.3333333333333339</v>
      </c>
    </row>
    <row r="79" spans="1:12" x14ac:dyDescent="0.25">
      <c r="A79" s="130">
        <v>70</v>
      </c>
      <c r="B79" s="147"/>
      <c r="C79" s="130" t="s">
        <v>109</v>
      </c>
      <c r="D79" s="140">
        <f t="shared" si="9"/>
        <v>150.00000000000009</v>
      </c>
      <c r="E79" s="148">
        <f t="shared" si="10"/>
        <v>7.2499999999999995E-2</v>
      </c>
      <c r="F79" s="149">
        <f t="shared" si="15"/>
        <v>9.2395833333333339</v>
      </c>
      <c r="G79" s="140">
        <f t="shared" si="11"/>
        <v>8.3333333333333339</v>
      </c>
      <c r="H79" s="149">
        <f t="shared" si="8"/>
        <v>0.90625000000000044</v>
      </c>
      <c r="I79" s="140">
        <f t="shared" si="6"/>
        <v>0.90625000000000044</v>
      </c>
      <c r="J79" s="140">
        <f t="shared" si="7"/>
        <v>141.66666666666674</v>
      </c>
      <c r="K79" s="140">
        <f>I79+K78</f>
        <v>1.8628472222222232</v>
      </c>
      <c r="L79" s="140">
        <f>G79+L78</f>
        <v>16.666666666666668</v>
      </c>
    </row>
    <row r="80" spans="1:12" x14ac:dyDescent="0.25">
      <c r="A80" s="130">
        <v>71</v>
      </c>
      <c r="B80" s="147"/>
      <c r="C80" s="130" t="s">
        <v>189</v>
      </c>
      <c r="D80" s="140">
        <f t="shared" si="9"/>
        <v>141.66666666666674</v>
      </c>
      <c r="E80" s="148">
        <f t="shared" si="10"/>
        <v>7.2499999999999995E-2</v>
      </c>
      <c r="F80" s="149">
        <f t="shared" si="15"/>
        <v>9.1892361111111125</v>
      </c>
      <c r="G80" s="140">
        <f t="shared" si="11"/>
        <v>8.3333333333333339</v>
      </c>
      <c r="H80" s="149">
        <f t="shared" si="8"/>
        <v>0.85590277777777812</v>
      </c>
      <c r="I80" s="140">
        <f>H80</f>
        <v>0.85590277777777812</v>
      </c>
      <c r="J80" s="140">
        <f>D80-G80</f>
        <v>133.3333333333334</v>
      </c>
      <c r="K80" s="140">
        <f t="shared" ref="K80:K89" si="24">I80+K79</f>
        <v>2.7187500000000013</v>
      </c>
      <c r="L80" s="140">
        <f t="shared" ref="L80:L89" si="25">G80+L79</f>
        <v>25</v>
      </c>
    </row>
    <row r="81" spans="1:12" x14ac:dyDescent="0.25">
      <c r="A81" s="130">
        <v>72</v>
      </c>
      <c r="B81" s="147"/>
      <c r="C81" s="130" t="s">
        <v>190</v>
      </c>
      <c r="D81" s="140">
        <f>J80</f>
        <v>133.3333333333334</v>
      </c>
      <c r="E81" s="148">
        <f t="shared" si="10"/>
        <v>7.2499999999999995E-2</v>
      </c>
      <c r="F81" s="149">
        <f t="shared" si="15"/>
        <v>9.1388888888888893</v>
      </c>
      <c r="G81" s="140">
        <f t="shared" si="11"/>
        <v>8.3333333333333339</v>
      </c>
      <c r="H81" s="149">
        <f>D81*E81/12</f>
        <v>0.80555555555555591</v>
      </c>
      <c r="I81" s="140">
        <f>H81</f>
        <v>0.80555555555555591</v>
      </c>
      <c r="J81" s="140">
        <f>D81-G81</f>
        <v>125.00000000000007</v>
      </c>
      <c r="K81" s="140">
        <f t="shared" si="24"/>
        <v>3.5243055555555571</v>
      </c>
      <c r="L81" s="140">
        <f t="shared" si="25"/>
        <v>33.333333333333336</v>
      </c>
    </row>
    <row r="82" spans="1:12" x14ac:dyDescent="0.25">
      <c r="A82" s="130">
        <v>73</v>
      </c>
      <c r="B82" s="147"/>
      <c r="C82" s="130" t="s">
        <v>110</v>
      </c>
      <c r="D82" s="140">
        <f>J81</f>
        <v>125.00000000000007</v>
      </c>
      <c r="E82" s="148">
        <f t="shared" ref="E82:E93" si="26">E81</f>
        <v>7.2499999999999995E-2</v>
      </c>
      <c r="F82" s="149">
        <f t="shared" si="15"/>
        <v>9.0885416666666679</v>
      </c>
      <c r="G82" s="140">
        <f t="shared" ref="G82:G93" si="27">G81</f>
        <v>8.3333333333333339</v>
      </c>
      <c r="H82" s="149">
        <f>D82*E82/12</f>
        <v>0.75520833333333381</v>
      </c>
      <c r="I82" s="140">
        <f>H82</f>
        <v>0.75520833333333381</v>
      </c>
      <c r="J82" s="140">
        <f>D82-G82</f>
        <v>116.66666666666674</v>
      </c>
      <c r="K82" s="140">
        <f t="shared" si="24"/>
        <v>4.2795138888888911</v>
      </c>
      <c r="L82" s="140">
        <f t="shared" si="25"/>
        <v>41.666666666666671</v>
      </c>
    </row>
    <row r="83" spans="1:12" x14ac:dyDescent="0.25">
      <c r="A83" s="130">
        <v>74</v>
      </c>
      <c r="B83" s="147"/>
      <c r="C83" s="130" t="s">
        <v>111</v>
      </c>
      <c r="D83" s="140">
        <f>J82</f>
        <v>116.66666666666674</v>
      </c>
      <c r="E83" s="148">
        <f t="shared" si="26"/>
        <v>7.2499999999999995E-2</v>
      </c>
      <c r="F83" s="149">
        <f t="shared" si="15"/>
        <v>9.0381944444444446</v>
      </c>
      <c r="G83" s="140">
        <f t="shared" si="27"/>
        <v>8.3333333333333339</v>
      </c>
      <c r="H83" s="149">
        <f>D83*E83/12</f>
        <v>0.70486111111111149</v>
      </c>
      <c r="I83" s="140">
        <f>H83</f>
        <v>0.70486111111111149</v>
      </c>
      <c r="J83" s="140">
        <f>D83-G83</f>
        <v>108.33333333333341</v>
      </c>
      <c r="K83" s="140">
        <f t="shared" si="24"/>
        <v>4.9843750000000027</v>
      </c>
      <c r="L83" s="140">
        <f t="shared" si="25"/>
        <v>50.000000000000007</v>
      </c>
    </row>
    <row r="84" spans="1:12" x14ac:dyDescent="0.25">
      <c r="A84" s="130">
        <v>75</v>
      </c>
      <c r="B84" s="130"/>
      <c r="C84" s="130" t="s">
        <v>112</v>
      </c>
      <c r="D84" s="140">
        <f t="shared" ref="D84:D93" si="28">J83</f>
        <v>108.33333333333341</v>
      </c>
      <c r="E84" s="148">
        <f t="shared" si="26"/>
        <v>7.2499999999999995E-2</v>
      </c>
      <c r="F84" s="149">
        <f t="shared" si="15"/>
        <v>8.9878472222222232</v>
      </c>
      <c r="G84" s="140">
        <f t="shared" si="27"/>
        <v>8.3333333333333339</v>
      </c>
      <c r="H84" s="149">
        <f t="shared" ref="H84:H93" si="29">D84*E84/12</f>
        <v>0.65451388888888939</v>
      </c>
      <c r="I84" s="140">
        <f t="shared" ref="I84:I93" si="30">H84</f>
        <v>0.65451388888888939</v>
      </c>
      <c r="J84" s="140">
        <f t="shared" ref="J84:J93" si="31">D84-G84</f>
        <v>100.00000000000009</v>
      </c>
      <c r="K84" s="140">
        <f t="shared" si="24"/>
        <v>5.6388888888888919</v>
      </c>
      <c r="L84" s="140">
        <f t="shared" si="25"/>
        <v>58.333333333333343</v>
      </c>
    </row>
    <row r="85" spans="1:12" x14ac:dyDescent="0.25">
      <c r="A85" s="130">
        <v>76</v>
      </c>
      <c r="B85" s="130"/>
      <c r="C85" s="130" t="s">
        <v>113</v>
      </c>
      <c r="D85" s="140">
        <f t="shared" si="28"/>
        <v>100.00000000000009</v>
      </c>
      <c r="E85" s="148">
        <f t="shared" si="26"/>
        <v>7.2499999999999995E-2</v>
      </c>
      <c r="F85" s="149">
        <f t="shared" si="15"/>
        <v>8.9375000000000018</v>
      </c>
      <c r="G85" s="140">
        <f t="shared" si="27"/>
        <v>8.3333333333333339</v>
      </c>
      <c r="H85" s="149">
        <f t="shared" si="29"/>
        <v>0.60416666666666707</v>
      </c>
      <c r="I85" s="140">
        <f t="shared" si="30"/>
        <v>0.60416666666666707</v>
      </c>
      <c r="J85" s="140">
        <f t="shared" si="31"/>
        <v>91.666666666666757</v>
      </c>
      <c r="K85" s="140">
        <f t="shared" si="24"/>
        <v>6.2430555555555589</v>
      </c>
      <c r="L85" s="140">
        <f t="shared" si="25"/>
        <v>66.666666666666671</v>
      </c>
    </row>
    <row r="86" spans="1:12" x14ac:dyDescent="0.25">
      <c r="A86" s="130">
        <v>77</v>
      </c>
      <c r="B86" s="130"/>
      <c r="C86" s="130" t="s">
        <v>114</v>
      </c>
      <c r="D86" s="140">
        <f t="shared" si="28"/>
        <v>91.666666666666757</v>
      </c>
      <c r="E86" s="148">
        <f t="shared" si="26"/>
        <v>7.2499999999999995E-2</v>
      </c>
      <c r="F86" s="149">
        <f t="shared" si="15"/>
        <v>8.8871527777777786</v>
      </c>
      <c r="G86" s="140">
        <f t="shared" si="27"/>
        <v>8.3333333333333339</v>
      </c>
      <c r="H86" s="149">
        <f t="shared" si="29"/>
        <v>0.55381944444444497</v>
      </c>
      <c r="I86" s="140">
        <f t="shared" si="30"/>
        <v>0.55381944444444497</v>
      </c>
      <c r="J86" s="140">
        <f t="shared" si="31"/>
        <v>83.333333333333428</v>
      </c>
      <c r="K86" s="140">
        <f t="shared" si="24"/>
        <v>6.7968750000000036</v>
      </c>
      <c r="L86" s="140">
        <f t="shared" si="25"/>
        <v>75</v>
      </c>
    </row>
    <row r="87" spans="1:12" x14ac:dyDescent="0.25">
      <c r="A87" s="130">
        <v>78</v>
      </c>
      <c r="B87" s="130"/>
      <c r="C87" s="130" t="s">
        <v>115</v>
      </c>
      <c r="D87" s="140">
        <f t="shared" si="28"/>
        <v>83.333333333333428</v>
      </c>
      <c r="E87" s="148">
        <f t="shared" si="26"/>
        <v>7.2499999999999995E-2</v>
      </c>
      <c r="F87" s="149">
        <f t="shared" si="15"/>
        <v>8.8368055555555571</v>
      </c>
      <c r="G87" s="140">
        <f t="shared" si="27"/>
        <v>8.3333333333333339</v>
      </c>
      <c r="H87" s="149">
        <f t="shared" si="29"/>
        <v>0.50347222222222276</v>
      </c>
      <c r="I87" s="140">
        <f t="shared" si="30"/>
        <v>0.50347222222222276</v>
      </c>
      <c r="J87" s="140">
        <f t="shared" si="31"/>
        <v>75.000000000000099</v>
      </c>
      <c r="K87" s="140">
        <f t="shared" si="24"/>
        <v>7.3003472222222268</v>
      </c>
      <c r="L87" s="140">
        <f t="shared" si="25"/>
        <v>83.333333333333329</v>
      </c>
    </row>
    <row r="88" spans="1:12" x14ac:dyDescent="0.25">
      <c r="A88" s="130">
        <v>79</v>
      </c>
      <c r="B88" s="130"/>
      <c r="C88" s="130" t="s">
        <v>116</v>
      </c>
      <c r="D88" s="140">
        <f t="shared" si="28"/>
        <v>75.000000000000099</v>
      </c>
      <c r="E88" s="148">
        <f t="shared" si="26"/>
        <v>7.2499999999999995E-2</v>
      </c>
      <c r="F88" s="149">
        <f t="shared" si="15"/>
        <v>8.7864583333333339</v>
      </c>
      <c r="G88" s="140">
        <f t="shared" si="27"/>
        <v>8.3333333333333339</v>
      </c>
      <c r="H88" s="149">
        <f t="shared" si="29"/>
        <v>0.45312500000000061</v>
      </c>
      <c r="I88" s="140">
        <f t="shared" si="30"/>
        <v>0.45312500000000061</v>
      </c>
      <c r="J88" s="140">
        <f t="shared" si="31"/>
        <v>66.666666666666771</v>
      </c>
      <c r="K88" s="140">
        <f t="shared" si="24"/>
        <v>7.7534722222222276</v>
      </c>
      <c r="L88" s="140">
        <f t="shared" si="25"/>
        <v>91.666666666666657</v>
      </c>
    </row>
    <row r="89" spans="1:12" x14ac:dyDescent="0.25">
      <c r="A89" s="130">
        <v>80</v>
      </c>
      <c r="B89" s="130"/>
      <c r="C89" s="130" t="s">
        <v>117</v>
      </c>
      <c r="D89" s="140">
        <f t="shared" si="28"/>
        <v>66.666666666666771</v>
      </c>
      <c r="E89" s="148">
        <f t="shared" si="26"/>
        <v>7.2499999999999995E-2</v>
      </c>
      <c r="F89" s="149">
        <f t="shared" si="15"/>
        <v>8.7361111111111125</v>
      </c>
      <c r="G89" s="140">
        <f t="shared" si="27"/>
        <v>8.3333333333333339</v>
      </c>
      <c r="H89" s="149">
        <f t="shared" si="29"/>
        <v>0.40277777777777835</v>
      </c>
      <c r="I89" s="140">
        <f t="shared" si="30"/>
        <v>0.40277777777777835</v>
      </c>
      <c r="J89" s="140">
        <f t="shared" si="31"/>
        <v>58.333333333333435</v>
      </c>
      <c r="K89" s="150">
        <f t="shared" si="24"/>
        <v>8.1562500000000053</v>
      </c>
      <c r="L89" s="150">
        <f t="shared" si="25"/>
        <v>99.999999999999986</v>
      </c>
    </row>
    <row r="90" spans="1:12" x14ac:dyDescent="0.25">
      <c r="A90" s="130">
        <v>81</v>
      </c>
      <c r="B90" s="130" t="s">
        <v>168</v>
      </c>
      <c r="C90" s="130" t="s">
        <v>188</v>
      </c>
      <c r="D90" s="140">
        <f t="shared" si="28"/>
        <v>58.333333333333435</v>
      </c>
      <c r="E90" s="148">
        <f t="shared" si="26"/>
        <v>7.2499999999999995E-2</v>
      </c>
      <c r="F90" s="149">
        <f>G90+H90</f>
        <v>8.6857638888888893</v>
      </c>
      <c r="G90" s="140">
        <f t="shared" si="27"/>
        <v>8.3333333333333339</v>
      </c>
      <c r="H90" s="149">
        <f t="shared" si="29"/>
        <v>0.35243055555555619</v>
      </c>
      <c r="I90" s="140">
        <f t="shared" si="30"/>
        <v>0.35243055555555619</v>
      </c>
      <c r="J90" s="140">
        <f t="shared" si="31"/>
        <v>50.000000000000099</v>
      </c>
      <c r="K90" s="140">
        <f>I90</f>
        <v>0.35243055555555619</v>
      </c>
      <c r="L90" s="140">
        <f>G90</f>
        <v>8.3333333333333339</v>
      </c>
    </row>
    <row r="91" spans="1:12" x14ac:dyDescent="0.25">
      <c r="A91" s="130">
        <v>82</v>
      </c>
      <c r="B91" s="130"/>
      <c r="C91" s="130" t="s">
        <v>109</v>
      </c>
      <c r="D91" s="140">
        <f t="shared" si="28"/>
        <v>50.000000000000099</v>
      </c>
      <c r="E91" s="148">
        <f t="shared" si="26"/>
        <v>7.2499999999999995E-2</v>
      </c>
      <c r="F91" s="149">
        <f t="shared" si="15"/>
        <v>8.6354166666666679</v>
      </c>
      <c r="G91" s="140">
        <f t="shared" si="27"/>
        <v>8.3333333333333339</v>
      </c>
      <c r="H91" s="149">
        <f t="shared" si="29"/>
        <v>0.30208333333333393</v>
      </c>
      <c r="I91" s="140">
        <f t="shared" si="30"/>
        <v>0.30208333333333393</v>
      </c>
      <c r="J91" s="140">
        <f t="shared" si="31"/>
        <v>41.666666666666764</v>
      </c>
      <c r="K91" s="140">
        <f>I91+K90</f>
        <v>0.65451388888889017</v>
      </c>
      <c r="L91" s="140">
        <f>G91+L90</f>
        <v>16.666666666666668</v>
      </c>
    </row>
    <row r="92" spans="1:12" x14ac:dyDescent="0.25">
      <c r="A92" s="130">
        <v>83</v>
      </c>
      <c r="B92" s="130"/>
      <c r="C92" s="130" t="s">
        <v>189</v>
      </c>
      <c r="D92" s="140">
        <f t="shared" si="28"/>
        <v>41.666666666666764</v>
      </c>
      <c r="E92" s="148">
        <f t="shared" si="26"/>
        <v>7.2499999999999995E-2</v>
      </c>
      <c r="F92" s="149">
        <f t="shared" si="15"/>
        <v>8.5850694444444464</v>
      </c>
      <c r="G92" s="140">
        <f t="shared" si="27"/>
        <v>8.3333333333333339</v>
      </c>
      <c r="H92" s="149">
        <f t="shared" si="29"/>
        <v>0.25173611111111166</v>
      </c>
      <c r="I92" s="140">
        <f t="shared" si="30"/>
        <v>0.25173611111111166</v>
      </c>
      <c r="J92" s="140">
        <f t="shared" si="31"/>
        <v>33.333333333333428</v>
      </c>
      <c r="K92" s="140">
        <f>I92+K91</f>
        <v>0.90625000000000178</v>
      </c>
      <c r="L92" s="140">
        <f>G92+L91</f>
        <v>25</v>
      </c>
    </row>
    <row r="93" spans="1:12" x14ac:dyDescent="0.25">
      <c r="A93" s="130">
        <v>84</v>
      </c>
      <c r="B93" s="130"/>
      <c r="C93" s="130" t="s">
        <v>190</v>
      </c>
      <c r="D93" s="140">
        <f t="shared" si="28"/>
        <v>33.333333333333428</v>
      </c>
      <c r="E93" s="148">
        <f t="shared" si="26"/>
        <v>7.2499999999999995E-2</v>
      </c>
      <c r="F93" s="149">
        <f t="shared" si="15"/>
        <v>8.5347222222222232</v>
      </c>
      <c r="G93" s="140">
        <f t="shared" si="27"/>
        <v>8.3333333333333339</v>
      </c>
      <c r="H93" s="149">
        <f t="shared" si="29"/>
        <v>0.20138888888888942</v>
      </c>
      <c r="I93" s="140">
        <f t="shared" si="30"/>
        <v>0.20138888888888942</v>
      </c>
      <c r="J93" s="140">
        <f t="shared" si="31"/>
        <v>25.000000000000092</v>
      </c>
      <c r="K93" s="150">
        <f>I93+K92</f>
        <v>1.1076388888888913</v>
      </c>
      <c r="L93" s="150">
        <f>G93+L92</f>
        <v>33.333333333333336</v>
      </c>
    </row>
    <row r="94" spans="1:12" x14ac:dyDescent="0.25">
      <c r="B94" s="154"/>
      <c r="C94" s="154"/>
      <c r="D94" s="146"/>
      <c r="E94" s="146"/>
      <c r="F94" s="155">
        <f>SUM(F10:F93)</f>
        <v>745.375</v>
      </c>
      <c r="G94" s="155">
        <f>SUM(G10:G93)</f>
        <v>574.99999999999977</v>
      </c>
      <c r="H94" s="155">
        <f>SUM(H10:H93)</f>
        <v>170.37499999999994</v>
      </c>
      <c r="K94" s="155"/>
      <c r="L94" s="155"/>
    </row>
    <row r="95" spans="1:12" x14ac:dyDescent="0.25">
      <c r="B95" s="154"/>
      <c r="C95" s="154"/>
      <c r="D95" s="146"/>
      <c r="E95" s="146"/>
      <c r="F95" s="149"/>
      <c r="G95" s="146"/>
      <c r="H95" s="146"/>
      <c r="K95" s="140"/>
      <c r="L95" s="154"/>
    </row>
    <row r="96" spans="1:12" x14ac:dyDescent="0.25">
      <c r="B96" s="154"/>
      <c r="C96" s="154"/>
      <c r="D96" s="146"/>
      <c r="E96" s="146"/>
      <c r="F96" s="146"/>
      <c r="G96" s="146"/>
      <c r="H96" s="146"/>
      <c r="K96" s="150"/>
      <c r="L96" s="154"/>
    </row>
    <row r="97" spans="2:12" x14ac:dyDescent="0.25">
      <c r="B97" s="154"/>
      <c r="C97" s="154"/>
      <c r="D97" s="146"/>
      <c r="E97" s="146"/>
      <c r="F97" s="146"/>
      <c r="G97" s="146"/>
      <c r="H97" s="146"/>
      <c r="K97" s="135"/>
    </row>
    <row r="98" spans="2:12" x14ac:dyDescent="0.25">
      <c r="B98" s="154"/>
      <c r="C98" s="154"/>
      <c r="D98" s="146"/>
      <c r="E98" s="146"/>
      <c r="F98" s="146"/>
      <c r="G98" s="146"/>
      <c r="H98" s="146"/>
    </row>
    <row r="99" spans="2:12" x14ac:dyDescent="0.25">
      <c r="B99" s="154"/>
      <c r="C99" s="154"/>
      <c r="D99" s="146"/>
      <c r="E99" s="146"/>
      <c r="F99" s="146"/>
      <c r="G99" s="146"/>
      <c r="H99" s="146"/>
    </row>
    <row r="100" spans="2:12" x14ac:dyDescent="0.25">
      <c r="B100" s="154"/>
      <c r="C100" s="154"/>
      <c r="D100" s="146"/>
      <c r="E100" s="146"/>
      <c r="F100" s="146"/>
      <c r="G100" s="146"/>
      <c r="H100" s="146"/>
    </row>
    <row r="101" spans="2:12" x14ac:dyDescent="0.25">
      <c r="B101" s="154"/>
      <c r="C101" s="154"/>
      <c r="D101" s="146"/>
      <c r="E101" s="146"/>
      <c r="F101" s="146"/>
      <c r="G101" s="146"/>
      <c r="H101" s="146"/>
    </row>
    <row r="102" spans="2:12" x14ac:dyDescent="0.25">
      <c r="B102" s="154"/>
      <c r="C102" s="154"/>
      <c r="D102" s="146"/>
      <c r="E102" s="146"/>
      <c r="F102" s="146"/>
      <c r="G102" s="146"/>
      <c r="H102" s="146"/>
      <c r="K102" s="146"/>
      <c r="L102" s="146"/>
    </row>
    <row r="103" spans="2:12" x14ac:dyDescent="0.25">
      <c r="B103" s="154"/>
      <c r="C103" s="154"/>
      <c r="D103" s="146"/>
      <c r="E103" s="146"/>
      <c r="F103" s="146"/>
      <c r="G103" s="146"/>
      <c r="H103" s="146"/>
    </row>
    <row r="104" spans="2:12" x14ac:dyDescent="0.25">
      <c r="B104" s="154"/>
      <c r="C104" s="154"/>
      <c r="D104" s="146"/>
      <c r="E104" s="146"/>
      <c r="F104" s="146"/>
      <c r="G104" s="146"/>
      <c r="H104" s="146"/>
    </row>
    <row r="105" spans="2:12" x14ac:dyDescent="0.25">
      <c r="B105" s="154"/>
      <c r="C105" s="154"/>
      <c r="D105" s="146"/>
      <c r="E105" s="146"/>
      <c r="F105" s="146"/>
      <c r="G105" s="146"/>
      <c r="H105" s="146"/>
    </row>
    <row r="106" spans="2:12" x14ac:dyDescent="0.25">
      <c r="B106" s="154"/>
      <c r="C106" s="154"/>
      <c r="D106" s="146"/>
      <c r="E106" s="146"/>
      <c r="F106" s="146"/>
      <c r="G106" s="146"/>
      <c r="H106" s="146"/>
    </row>
    <row r="107" spans="2:12" x14ac:dyDescent="0.25">
      <c r="B107" s="154"/>
      <c r="C107" s="154"/>
      <c r="D107" s="146"/>
      <c r="E107" s="146"/>
      <c r="F107" s="146"/>
      <c r="G107" s="146"/>
      <c r="H107" s="146"/>
    </row>
    <row r="108" spans="2:12" x14ac:dyDescent="0.25">
      <c r="B108" s="154"/>
      <c r="C108" s="154"/>
      <c r="D108" s="146"/>
      <c r="E108" s="146"/>
      <c r="F108" s="146"/>
      <c r="G108" s="146"/>
      <c r="H108" s="146"/>
    </row>
    <row r="109" spans="2:12" x14ac:dyDescent="0.25">
      <c r="B109" s="154"/>
      <c r="C109" s="154"/>
      <c r="D109" s="146"/>
      <c r="E109" s="146"/>
      <c r="F109" s="146"/>
      <c r="G109" s="146"/>
      <c r="H109" s="146"/>
    </row>
    <row r="110" spans="2:12" x14ac:dyDescent="0.25">
      <c r="B110" s="154"/>
      <c r="C110" s="154"/>
      <c r="D110" s="146"/>
      <c r="E110" s="146"/>
      <c r="F110" s="146"/>
      <c r="G110" s="146"/>
      <c r="H110" s="146"/>
    </row>
    <row r="111" spans="2:12" x14ac:dyDescent="0.25">
      <c r="B111" s="154"/>
      <c r="C111" s="154"/>
      <c r="D111" s="146"/>
      <c r="E111" s="146"/>
      <c r="F111" s="146"/>
      <c r="G111" s="146"/>
      <c r="H111" s="146"/>
    </row>
    <row r="112" spans="2:12" x14ac:dyDescent="0.25">
      <c r="B112" s="154"/>
      <c r="C112" s="154"/>
      <c r="D112" s="146"/>
      <c r="E112" s="146"/>
      <c r="F112" s="146"/>
      <c r="G112" s="146"/>
      <c r="H112" s="146"/>
    </row>
    <row r="113" spans="2:12" x14ac:dyDescent="0.25">
      <c r="B113" s="154"/>
      <c r="C113" s="154"/>
      <c r="D113" s="146"/>
      <c r="E113" s="146"/>
      <c r="F113" s="146"/>
      <c r="G113" s="146"/>
      <c r="H113" s="146"/>
    </row>
    <row r="114" spans="2:12" x14ac:dyDescent="0.25">
      <c r="B114" s="154"/>
      <c r="C114" s="154"/>
      <c r="D114" s="146"/>
      <c r="E114" s="146"/>
      <c r="F114" s="146"/>
      <c r="G114" s="146"/>
      <c r="H114" s="146"/>
    </row>
    <row r="115" spans="2:12" x14ac:dyDescent="0.25">
      <c r="B115" s="154"/>
      <c r="C115" s="154"/>
      <c r="D115" s="146"/>
      <c r="E115" s="146"/>
      <c r="F115" s="146"/>
      <c r="G115" s="146"/>
      <c r="H115" s="146"/>
      <c r="K115" s="146"/>
      <c r="L115" s="146"/>
    </row>
    <row r="116" spans="2:12" x14ac:dyDescent="0.25">
      <c r="B116" s="154"/>
      <c r="C116" s="154"/>
      <c r="D116" s="146"/>
      <c r="E116" s="146"/>
      <c r="F116" s="146"/>
      <c r="G116" s="146"/>
      <c r="H116" s="146"/>
    </row>
    <row r="117" spans="2:12" x14ac:dyDescent="0.25">
      <c r="B117" s="154"/>
      <c r="C117" s="154"/>
      <c r="D117" s="146"/>
      <c r="E117" s="146"/>
      <c r="F117" s="146"/>
      <c r="G117" s="146"/>
      <c r="H117" s="146"/>
    </row>
    <row r="118" spans="2:12" x14ac:dyDescent="0.25">
      <c r="B118" s="154"/>
      <c r="C118" s="154"/>
      <c r="D118" s="146"/>
      <c r="E118" s="146"/>
      <c r="F118" s="146"/>
      <c r="G118" s="146"/>
      <c r="H118" s="146"/>
    </row>
    <row r="119" spans="2:12" x14ac:dyDescent="0.25">
      <c r="B119" s="154"/>
      <c r="C119" s="154"/>
      <c r="D119" s="146"/>
      <c r="E119" s="146"/>
      <c r="F119" s="146"/>
      <c r="G119" s="146"/>
      <c r="H119" s="146"/>
    </row>
    <row r="120" spans="2:12" x14ac:dyDescent="0.25">
      <c r="B120" s="154"/>
      <c r="C120" s="154"/>
      <c r="D120" s="146"/>
      <c r="E120" s="146"/>
      <c r="F120" s="146"/>
      <c r="G120" s="146"/>
      <c r="H120" s="146"/>
    </row>
    <row r="121" spans="2:12" x14ac:dyDescent="0.25">
      <c r="B121" s="154"/>
      <c r="C121" s="154"/>
      <c r="D121" s="146"/>
      <c r="E121" s="146"/>
      <c r="F121" s="146"/>
      <c r="G121" s="146"/>
      <c r="H121" s="146"/>
    </row>
    <row r="122" spans="2:12" x14ac:dyDescent="0.25">
      <c r="B122" s="154"/>
      <c r="C122" s="154"/>
      <c r="D122" s="146"/>
      <c r="E122" s="146"/>
      <c r="F122" s="146"/>
      <c r="G122" s="146"/>
      <c r="H122" s="146"/>
    </row>
    <row r="123" spans="2:12" x14ac:dyDescent="0.25">
      <c r="B123" s="154"/>
      <c r="C123" s="154"/>
      <c r="D123" s="146"/>
      <c r="E123" s="146"/>
      <c r="F123" s="146"/>
      <c r="G123" s="146"/>
      <c r="H123" s="146"/>
    </row>
    <row r="124" spans="2:12" x14ac:dyDescent="0.25">
      <c r="B124" s="154"/>
      <c r="C124" s="154"/>
      <c r="D124" s="146"/>
      <c r="E124" s="146"/>
      <c r="F124" s="146"/>
      <c r="G124" s="146"/>
      <c r="H124" s="146"/>
    </row>
    <row r="125" spans="2:12" x14ac:dyDescent="0.25">
      <c r="B125" s="154"/>
      <c r="C125" s="154"/>
      <c r="D125" s="146"/>
      <c r="E125" s="146"/>
      <c r="F125" s="146"/>
      <c r="G125" s="146"/>
      <c r="H125" s="146"/>
    </row>
    <row r="126" spans="2:12" x14ac:dyDescent="0.25">
      <c r="B126" s="154"/>
      <c r="C126" s="154"/>
      <c r="D126" s="146"/>
      <c r="E126" s="146"/>
      <c r="F126" s="146"/>
      <c r="G126" s="146"/>
      <c r="H126" s="146"/>
    </row>
    <row r="127" spans="2:12" x14ac:dyDescent="0.25">
      <c r="B127" s="154"/>
      <c r="C127" s="154"/>
      <c r="D127" s="146"/>
      <c r="E127" s="146"/>
      <c r="F127" s="146"/>
      <c r="G127" s="146"/>
      <c r="H127" s="146"/>
    </row>
    <row r="128" spans="2:12" x14ac:dyDescent="0.25">
      <c r="B128" s="154"/>
      <c r="C128" s="154"/>
      <c r="D128" s="146"/>
      <c r="E128" s="146"/>
      <c r="F128" s="146"/>
      <c r="G128" s="146"/>
      <c r="H128" s="146"/>
    </row>
    <row r="129" spans="2:8" x14ac:dyDescent="0.25">
      <c r="B129" s="154"/>
      <c r="C129" s="154"/>
      <c r="D129" s="146"/>
      <c r="E129" s="146"/>
      <c r="F129" s="146"/>
      <c r="G129" s="146"/>
      <c r="H129" s="146"/>
    </row>
    <row r="130" spans="2:8" x14ac:dyDescent="0.25">
      <c r="B130" s="154"/>
      <c r="C130" s="154"/>
      <c r="D130" s="146"/>
      <c r="E130" s="146"/>
      <c r="F130" s="146"/>
      <c r="G130" s="146"/>
      <c r="H130" s="146"/>
    </row>
    <row r="131" spans="2:8" x14ac:dyDescent="0.25">
      <c r="B131" s="154"/>
      <c r="C131" s="154"/>
      <c r="D131" s="146"/>
      <c r="E131" s="146"/>
      <c r="F131" s="146"/>
      <c r="G131" s="146"/>
      <c r="H131" s="146"/>
    </row>
    <row r="132" spans="2:8" x14ac:dyDescent="0.25">
      <c r="B132" s="154"/>
      <c r="C132" s="154"/>
      <c r="D132" s="146"/>
      <c r="E132" s="146"/>
      <c r="F132" s="146"/>
      <c r="G132" s="146"/>
      <c r="H132" s="146"/>
    </row>
    <row r="133" spans="2:8" x14ac:dyDescent="0.25">
      <c r="B133" s="154"/>
      <c r="C133" s="154"/>
      <c r="D133" s="146"/>
      <c r="E133" s="146"/>
      <c r="F133" s="146"/>
      <c r="G133" s="146"/>
      <c r="H133" s="146"/>
    </row>
    <row r="134" spans="2:8" x14ac:dyDescent="0.25">
      <c r="B134" s="154"/>
      <c r="C134" s="154"/>
      <c r="D134" s="146"/>
      <c r="E134" s="146"/>
      <c r="F134" s="146"/>
      <c r="G134" s="146"/>
      <c r="H134" s="146"/>
    </row>
    <row r="135" spans="2:8" x14ac:dyDescent="0.25">
      <c r="B135" s="154"/>
      <c r="C135" s="154"/>
      <c r="D135" s="146"/>
      <c r="E135" s="146"/>
      <c r="F135" s="146"/>
      <c r="G135" s="146"/>
      <c r="H135" s="146"/>
    </row>
    <row r="136" spans="2:8" x14ac:dyDescent="0.25">
      <c r="B136" s="154"/>
      <c r="C136" s="154"/>
      <c r="D136" s="146"/>
      <c r="E136" s="146"/>
      <c r="F136" s="146"/>
      <c r="G136" s="146"/>
      <c r="H136" s="146"/>
    </row>
    <row r="137" spans="2:8" x14ac:dyDescent="0.25">
      <c r="B137" s="154"/>
      <c r="C137" s="154"/>
      <c r="D137" s="146"/>
      <c r="E137" s="146"/>
      <c r="F137" s="146"/>
      <c r="G137" s="146"/>
      <c r="H137" s="146"/>
    </row>
    <row r="138" spans="2:8" x14ac:dyDescent="0.25">
      <c r="B138" s="154"/>
      <c r="C138" s="154"/>
      <c r="D138" s="146"/>
      <c r="E138" s="146"/>
      <c r="F138" s="146"/>
      <c r="G138" s="146"/>
      <c r="H138" s="146"/>
    </row>
    <row r="139" spans="2:8" x14ac:dyDescent="0.25">
      <c r="B139" s="154"/>
      <c r="C139" s="154"/>
      <c r="D139" s="146"/>
      <c r="E139" s="146"/>
      <c r="F139" s="146"/>
      <c r="G139" s="146"/>
      <c r="H139" s="146"/>
    </row>
    <row r="140" spans="2:8" x14ac:dyDescent="0.25">
      <c r="B140" s="154"/>
      <c r="C140" s="154"/>
      <c r="D140" s="146"/>
      <c r="E140" s="146"/>
      <c r="F140" s="146"/>
      <c r="G140" s="146"/>
      <c r="H140" s="146"/>
    </row>
    <row r="141" spans="2:8" x14ac:dyDescent="0.25">
      <c r="B141" s="154"/>
      <c r="C141" s="154"/>
      <c r="D141" s="146"/>
      <c r="E141" s="146"/>
      <c r="F141" s="146"/>
      <c r="G141" s="146"/>
      <c r="H141" s="146"/>
    </row>
    <row r="142" spans="2:8" x14ac:dyDescent="0.25">
      <c r="B142" s="154"/>
      <c r="C142" s="154"/>
      <c r="D142" s="146"/>
      <c r="E142" s="146"/>
      <c r="F142" s="146"/>
      <c r="G142" s="146"/>
      <c r="H142" s="146"/>
    </row>
    <row r="143" spans="2:8" x14ac:dyDescent="0.25">
      <c r="B143" s="154"/>
      <c r="C143" s="154"/>
      <c r="D143" s="146"/>
      <c r="E143" s="146"/>
      <c r="F143" s="146"/>
      <c r="G143" s="146"/>
      <c r="H143" s="146"/>
    </row>
    <row r="144" spans="2:8" x14ac:dyDescent="0.25">
      <c r="B144" s="154"/>
      <c r="C144" s="154"/>
      <c r="D144" s="146"/>
      <c r="E144" s="146"/>
      <c r="F144" s="146"/>
      <c r="G144" s="146"/>
      <c r="H144" s="146"/>
    </row>
    <row r="145" spans="2:8" x14ac:dyDescent="0.25">
      <c r="B145" s="154"/>
      <c r="C145" s="154"/>
      <c r="D145" s="146"/>
      <c r="E145" s="146"/>
      <c r="F145" s="146"/>
      <c r="G145" s="146"/>
      <c r="H145" s="146"/>
    </row>
    <row r="146" spans="2:8" x14ac:dyDescent="0.25">
      <c r="B146" s="154"/>
      <c r="C146" s="154"/>
      <c r="D146" s="146"/>
      <c r="E146" s="146"/>
      <c r="F146" s="146"/>
      <c r="G146" s="146"/>
      <c r="H146" s="146"/>
    </row>
    <row r="147" spans="2:8" x14ac:dyDescent="0.25">
      <c r="B147" s="154"/>
      <c r="C147" s="154"/>
      <c r="D147" s="146"/>
      <c r="E147" s="146"/>
      <c r="F147" s="146"/>
      <c r="G147" s="146"/>
      <c r="H147" s="146"/>
    </row>
    <row r="148" spans="2:8" x14ac:dyDescent="0.25">
      <c r="B148" s="154"/>
      <c r="C148" s="154"/>
      <c r="D148" s="146"/>
      <c r="E148" s="146"/>
      <c r="F148" s="146"/>
      <c r="G148" s="146"/>
      <c r="H148" s="146"/>
    </row>
    <row r="149" spans="2:8" x14ac:dyDescent="0.25">
      <c r="B149" s="154"/>
      <c r="C149" s="154"/>
      <c r="D149" s="146"/>
      <c r="E149" s="146"/>
      <c r="F149" s="146"/>
      <c r="G149" s="146"/>
      <c r="H149" s="146"/>
    </row>
    <row r="150" spans="2:8" x14ac:dyDescent="0.25">
      <c r="B150" s="154"/>
      <c r="C150" s="154"/>
      <c r="D150" s="146"/>
      <c r="E150" s="146"/>
      <c r="F150" s="146"/>
      <c r="G150" s="146"/>
      <c r="H150" s="146"/>
    </row>
    <row r="151" spans="2:8" x14ac:dyDescent="0.25">
      <c r="B151" s="154"/>
      <c r="C151" s="154"/>
      <c r="D151" s="146"/>
      <c r="E151" s="146"/>
      <c r="F151" s="146"/>
      <c r="G151" s="146"/>
      <c r="H151" s="146"/>
    </row>
    <row r="152" spans="2:8" x14ac:dyDescent="0.25">
      <c r="B152" s="154"/>
      <c r="C152" s="154"/>
      <c r="D152" s="146"/>
      <c r="E152" s="146"/>
      <c r="F152" s="146"/>
      <c r="G152" s="146"/>
      <c r="H152" s="146"/>
    </row>
    <row r="153" spans="2:8" x14ac:dyDescent="0.25">
      <c r="B153" s="154"/>
      <c r="C153" s="154"/>
      <c r="D153" s="146"/>
      <c r="E153" s="146"/>
      <c r="F153" s="146"/>
      <c r="G153" s="146"/>
      <c r="H153" s="146"/>
    </row>
    <row r="154" spans="2:8" x14ac:dyDescent="0.25">
      <c r="B154" s="154"/>
      <c r="C154" s="154"/>
      <c r="D154" s="146"/>
      <c r="E154" s="146"/>
      <c r="F154" s="146"/>
      <c r="G154" s="146"/>
      <c r="H154" s="146"/>
    </row>
    <row r="155" spans="2:8" x14ac:dyDescent="0.25">
      <c r="B155" s="154"/>
      <c r="C155" s="154"/>
      <c r="D155" s="146"/>
      <c r="E155" s="146"/>
      <c r="F155" s="146"/>
      <c r="G155" s="146"/>
      <c r="H155" s="146"/>
    </row>
    <row r="156" spans="2:8" x14ac:dyDescent="0.25">
      <c r="B156" s="154"/>
      <c r="C156" s="154"/>
      <c r="D156" s="146"/>
      <c r="E156" s="146"/>
      <c r="F156" s="146"/>
      <c r="G156" s="146"/>
      <c r="H156" s="146"/>
    </row>
    <row r="157" spans="2:8" x14ac:dyDescent="0.25">
      <c r="B157" s="154"/>
      <c r="C157" s="154"/>
      <c r="D157" s="146"/>
      <c r="E157" s="146"/>
      <c r="F157" s="146"/>
      <c r="G157" s="146"/>
      <c r="H157" s="146"/>
    </row>
    <row r="158" spans="2:8" x14ac:dyDescent="0.25">
      <c r="B158" s="154"/>
      <c r="C158" s="154"/>
      <c r="D158" s="146"/>
      <c r="E158" s="146"/>
      <c r="F158" s="146"/>
      <c r="G158" s="146"/>
      <c r="H158" s="146"/>
    </row>
    <row r="159" spans="2:8" x14ac:dyDescent="0.25">
      <c r="B159" s="154"/>
      <c r="C159" s="154"/>
      <c r="D159" s="146"/>
      <c r="E159" s="146"/>
      <c r="F159" s="146"/>
      <c r="G159" s="146"/>
      <c r="H159" s="146"/>
    </row>
    <row r="160" spans="2:8" x14ac:dyDescent="0.25">
      <c r="B160" s="154"/>
      <c r="C160" s="154"/>
      <c r="D160" s="146"/>
      <c r="E160" s="146"/>
      <c r="F160" s="146"/>
      <c r="G160" s="146"/>
      <c r="H160" s="146"/>
    </row>
    <row r="161" spans="2:8" x14ac:dyDescent="0.25">
      <c r="B161" s="154"/>
      <c r="C161" s="154"/>
      <c r="D161" s="146"/>
      <c r="E161" s="146"/>
      <c r="F161" s="146"/>
      <c r="G161" s="146"/>
      <c r="H161" s="146"/>
    </row>
    <row r="162" spans="2:8" x14ac:dyDescent="0.25">
      <c r="B162" s="154"/>
      <c r="C162" s="154"/>
      <c r="D162" s="146"/>
      <c r="E162" s="146"/>
      <c r="F162" s="146"/>
      <c r="G162" s="146"/>
      <c r="H162" s="146"/>
    </row>
    <row r="163" spans="2:8" x14ac:dyDescent="0.25">
      <c r="B163" s="154"/>
      <c r="C163" s="154"/>
      <c r="D163" s="146"/>
      <c r="E163" s="146"/>
      <c r="F163" s="146"/>
      <c r="G163" s="146"/>
      <c r="H163" s="146"/>
    </row>
    <row r="164" spans="2:8" x14ac:dyDescent="0.25">
      <c r="B164" s="154"/>
      <c r="C164" s="154"/>
      <c r="D164" s="146"/>
      <c r="E164" s="146"/>
      <c r="F164" s="146"/>
      <c r="G164" s="146"/>
      <c r="H164" s="146"/>
    </row>
    <row r="165" spans="2:8" x14ac:dyDescent="0.25">
      <c r="B165" s="154"/>
      <c r="C165" s="154"/>
      <c r="D165" s="146"/>
      <c r="E165" s="146"/>
      <c r="F165" s="146"/>
      <c r="G165" s="146"/>
      <c r="H165" s="146"/>
    </row>
    <row r="166" spans="2:8" x14ac:dyDescent="0.25">
      <c r="B166" s="154"/>
      <c r="C166" s="154"/>
      <c r="D166" s="146"/>
      <c r="E166" s="146"/>
      <c r="F166" s="146"/>
      <c r="G166" s="146"/>
      <c r="H166" s="146"/>
    </row>
    <row r="167" spans="2:8" x14ac:dyDescent="0.25">
      <c r="B167" s="154"/>
      <c r="C167" s="154"/>
      <c r="D167" s="146"/>
      <c r="E167" s="146"/>
      <c r="F167" s="146"/>
      <c r="G167" s="146"/>
      <c r="H167" s="146"/>
    </row>
    <row r="168" spans="2:8" x14ac:dyDescent="0.25">
      <c r="B168" s="154"/>
      <c r="C168" s="154"/>
      <c r="D168" s="146"/>
      <c r="E168" s="146"/>
      <c r="F168" s="146"/>
      <c r="G168" s="146"/>
      <c r="H168" s="146"/>
    </row>
    <row r="169" spans="2:8" x14ac:dyDescent="0.25">
      <c r="B169" s="154"/>
      <c r="C169" s="154"/>
      <c r="D169" s="146"/>
      <c r="E169" s="146"/>
      <c r="F169" s="146"/>
      <c r="G169" s="146"/>
      <c r="H169" s="146"/>
    </row>
    <row r="170" spans="2:8" x14ac:dyDescent="0.25">
      <c r="B170" s="154"/>
      <c r="C170" s="154"/>
      <c r="D170" s="146"/>
      <c r="E170" s="146"/>
      <c r="F170" s="146"/>
      <c r="G170" s="146"/>
      <c r="H170" s="146"/>
    </row>
    <row r="171" spans="2:8" x14ac:dyDescent="0.25">
      <c r="B171" s="154"/>
      <c r="C171" s="154"/>
      <c r="D171" s="146"/>
      <c r="E171" s="146"/>
      <c r="F171" s="146"/>
      <c r="G171" s="146"/>
      <c r="H171" s="146"/>
    </row>
    <row r="172" spans="2:8" x14ac:dyDescent="0.25">
      <c r="B172" s="154"/>
      <c r="C172" s="154"/>
      <c r="D172" s="146"/>
      <c r="E172" s="146"/>
      <c r="F172" s="146"/>
      <c r="G172" s="146"/>
      <c r="H172" s="146"/>
    </row>
    <row r="173" spans="2:8" x14ac:dyDescent="0.25">
      <c r="B173" s="154"/>
      <c r="C173" s="154"/>
      <c r="D173" s="146"/>
      <c r="E173" s="146"/>
      <c r="F173" s="146"/>
      <c r="G173" s="146"/>
      <c r="H173" s="146"/>
    </row>
    <row r="174" spans="2:8" x14ac:dyDescent="0.25">
      <c r="B174" s="154"/>
      <c r="C174" s="154"/>
      <c r="D174" s="146"/>
      <c r="E174" s="146"/>
      <c r="F174" s="146"/>
      <c r="G174" s="146"/>
      <c r="H174" s="146"/>
    </row>
    <row r="175" spans="2:8" x14ac:dyDescent="0.25">
      <c r="B175" s="154"/>
      <c r="C175" s="154"/>
      <c r="D175" s="146"/>
      <c r="E175" s="146"/>
      <c r="F175" s="146"/>
      <c r="G175" s="146"/>
      <c r="H175" s="146"/>
    </row>
    <row r="176" spans="2:8" x14ac:dyDescent="0.25">
      <c r="B176" s="154"/>
      <c r="C176" s="154"/>
      <c r="D176" s="146"/>
      <c r="E176" s="146"/>
      <c r="F176" s="146"/>
      <c r="G176" s="146"/>
      <c r="H176" s="146"/>
    </row>
    <row r="177" spans="2:8" x14ac:dyDescent="0.25">
      <c r="B177" s="154"/>
      <c r="C177" s="154"/>
      <c r="D177" s="146"/>
      <c r="E177" s="146"/>
      <c r="F177" s="146"/>
      <c r="G177" s="146"/>
      <c r="H177" s="146"/>
    </row>
    <row r="178" spans="2:8" x14ac:dyDescent="0.25">
      <c r="B178" s="154"/>
      <c r="C178" s="154"/>
      <c r="D178" s="146"/>
      <c r="E178" s="146"/>
      <c r="F178" s="146"/>
      <c r="G178" s="146"/>
      <c r="H178" s="146"/>
    </row>
    <row r="179" spans="2:8" x14ac:dyDescent="0.25">
      <c r="B179" s="154"/>
      <c r="C179" s="154"/>
      <c r="D179" s="146"/>
      <c r="E179" s="146"/>
      <c r="F179" s="146"/>
      <c r="G179" s="146"/>
      <c r="H179" s="146"/>
    </row>
    <row r="180" spans="2:8" x14ac:dyDescent="0.25">
      <c r="B180" s="154"/>
      <c r="C180" s="154"/>
      <c r="D180" s="146"/>
      <c r="E180" s="146"/>
      <c r="F180" s="146"/>
      <c r="G180" s="146"/>
      <c r="H180" s="146"/>
    </row>
    <row r="181" spans="2:8" x14ac:dyDescent="0.25">
      <c r="B181" s="154"/>
      <c r="C181" s="154"/>
      <c r="D181" s="146"/>
      <c r="E181" s="146"/>
      <c r="F181" s="146"/>
      <c r="G181" s="146"/>
      <c r="H181" s="146"/>
    </row>
    <row r="182" spans="2:8" x14ac:dyDescent="0.25">
      <c r="B182" s="154"/>
      <c r="C182" s="154"/>
      <c r="D182" s="146"/>
      <c r="E182" s="146"/>
      <c r="F182" s="146"/>
      <c r="G182" s="146"/>
      <c r="H182" s="146"/>
    </row>
    <row r="183" spans="2:8" x14ac:dyDescent="0.25">
      <c r="B183" s="154"/>
      <c r="C183" s="154"/>
      <c r="D183" s="146"/>
      <c r="E183" s="146"/>
      <c r="F183" s="146"/>
      <c r="G183" s="146"/>
      <c r="H183" s="146"/>
    </row>
    <row r="184" spans="2:8" x14ac:dyDescent="0.25">
      <c r="B184" s="154"/>
      <c r="C184" s="154"/>
      <c r="D184" s="146"/>
      <c r="E184" s="146"/>
      <c r="F184" s="146"/>
      <c r="G184" s="146"/>
      <c r="H184" s="146"/>
    </row>
    <row r="185" spans="2:8" x14ac:dyDescent="0.25">
      <c r="B185" s="154"/>
      <c r="C185" s="154"/>
      <c r="D185" s="146"/>
      <c r="E185" s="146"/>
      <c r="F185" s="146"/>
      <c r="G185" s="146"/>
      <c r="H185" s="146"/>
    </row>
    <row r="186" spans="2:8" x14ac:dyDescent="0.25">
      <c r="B186" s="154"/>
      <c r="C186" s="154"/>
      <c r="D186" s="146"/>
      <c r="E186" s="146"/>
      <c r="F186" s="146"/>
      <c r="G186" s="146"/>
      <c r="H186" s="146"/>
    </row>
    <row r="187" spans="2:8" x14ac:dyDescent="0.25">
      <c r="B187" s="154"/>
      <c r="C187" s="154"/>
      <c r="D187" s="146"/>
      <c r="E187" s="146"/>
      <c r="F187" s="146"/>
      <c r="G187" s="146"/>
      <c r="H187" s="146"/>
    </row>
    <row r="188" spans="2:8" x14ac:dyDescent="0.25">
      <c r="B188" s="154"/>
      <c r="C188" s="154"/>
      <c r="D188" s="146"/>
      <c r="E188" s="146"/>
      <c r="F188" s="146"/>
      <c r="G188" s="146"/>
      <c r="H188" s="146"/>
    </row>
    <row r="189" spans="2:8" x14ac:dyDescent="0.25">
      <c r="B189" s="154"/>
      <c r="C189" s="154"/>
      <c r="D189" s="146"/>
      <c r="E189" s="146"/>
      <c r="F189" s="146"/>
      <c r="G189" s="146"/>
      <c r="H189" s="146"/>
    </row>
    <row r="190" spans="2:8" x14ac:dyDescent="0.25">
      <c r="B190" s="154"/>
      <c r="C190" s="154"/>
      <c r="D190" s="146"/>
      <c r="E190" s="146"/>
      <c r="F190" s="146"/>
      <c r="G190" s="146"/>
      <c r="H190" s="146"/>
    </row>
    <row r="191" spans="2:8" x14ac:dyDescent="0.25">
      <c r="B191" s="154"/>
      <c r="C191" s="154"/>
      <c r="D191" s="146"/>
      <c r="E191" s="146"/>
      <c r="F191" s="146"/>
      <c r="G191" s="146"/>
      <c r="H191" s="146"/>
    </row>
    <row r="192" spans="2:8" x14ac:dyDescent="0.25">
      <c r="B192" s="154"/>
      <c r="C192" s="154"/>
      <c r="D192" s="146"/>
      <c r="E192" s="146"/>
      <c r="F192" s="146"/>
      <c r="G192" s="146"/>
      <c r="H192" s="146"/>
    </row>
    <row r="193" spans="2:12" x14ac:dyDescent="0.25">
      <c r="B193" s="154"/>
      <c r="C193" s="154"/>
      <c r="D193" s="146"/>
      <c r="E193" s="146"/>
      <c r="F193" s="146"/>
      <c r="G193" s="146"/>
      <c r="H193" s="146"/>
    </row>
    <row r="194" spans="2:12" x14ac:dyDescent="0.25">
      <c r="B194" s="154"/>
      <c r="C194" s="154"/>
      <c r="D194" s="146"/>
      <c r="E194" s="146"/>
      <c r="F194" s="146"/>
      <c r="G194" s="146"/>
      <c r="H194" s="146"/>
    </row>
    <row r="195" spans="2:12" x14ac:dyDescent="0.25">
      <c r="B195" s="154"/>
      <c r="C195" s="154"/>
      <c r="D195" s="146"/>
      <c r="E195" s="146"/>
      <c r="F195" s="146"/>
      <c r="G195" s="146"/>
      <c r="H195" s="146"/>
    </row>
    <row r="196" spans="2:12" x14ac:dyDescent="0.25">
      <c r="B196" s="154"/>
      <c r="C196" s="154"/>
      <c r="D196" s="146"/>
      <c r="E196" s="146"/>
      <c r="F196" s="146"/>
      <c r="G196" s="146"/>
      <c r="H196" s="146"/>
    </row>
    <row r="197" spans="2:12" x14ac:dyDescent="0.25">
      <c r="B197" s="154"/>
      <c r="C197" s="154"/>
      <c r="D197" s="146"/>
      <c r="E197" s="146"/>
      <c r="F197" s="146"/>
      <c r="G197" s="146"/>
      <c r="H197" s="146"/>
    </row>
    <row r="198" spans="2:12" x14ac:dyDescent="0.25">
      <c r="B198" s="154"/>
      <c r="C198" s="154"/>
      <c r="D198" s="146"/>
      <c r="E198" s="146"/>
      <c r="F198" s="146"/>
      <c r="G198" s="146"/>
      <c r="H198" s="146"/>
    </row>
    <row r="199" spans="2:12" x14ac:dyDescent="0.25">
      <c r="B199" s="154"/>
      <c r="C199" s="154"/>
      <c r="D199" s="146"/>
      <c r="E199" s="146"/>
      <c r="F199" s="146"/>
      <c r="G199" s="146"/>
      <c r="H199" s="146"/>
    </row>
    <row r="200" spans="2:12" x14ac:dyDescent="0.25">
      <c r="B200" s="154"/>
      <c r="C200" s="154"/>
      <c r="D200" s="146"/>
      <c r="E200" s="146"/>
      <c r="F200" s="146"/>
      <c r="G200" s="146"/>
      <c r="H200" s="146"/>
    </row>
    <row r="201" spans="2:12" x14ac:dyDescent="0.25">
      <c r="B201" s="154"/>
      <c r="C201" s="154"/>
      <c r="D201" s="146"/>
      <c r="E201" s="146"/>
      <c r="F201" s="146"/>
      <c r="G201" s="146"/>
      <c r="H201" s="146"/>
    </row>
    <row r="202" spans="2:12" x14ac:dyDescent="0.25">
      <c r="B202" s="154"/>
      <c r="C202" s="154"/>
      <c r="D202" s="146"/>
      <c r="E202" s="146"/>
      <c r="F202" s="146"/>
      <c r="G202" s="146"/>
      <c r="H202" s="146"/>
    </row>
    <row r="203" spans="2:12" x14ac:dyDescent="0.25">
      <c r="B203" s="154"/>
      <c r="C203" s="154"/>
      <c r="D203" s="146"/>
      <c r="E203" s="146"/>
      <c r="F203" s="146"/>
      <c r="G203" s="146"/>
      <c r="H203" s="146"/>
    </row>
    <row r="204" spans="2:12" x14ac:dyDescent="0.25">
      <c r="C204" s="154"/>
      <c r="D204" s="146"/>
      <c r="E204" s="146"/>
      <c r="F204" s="146"/>
      <c r="G204" s="146"/>
      <c r="H204" s="146"/>
    </row>
    <row r="205" spans="2:12" x14ac:dyDescent="0.25">
      <c r="C205" s="154"/>
      <c r="D205" s="146"/>
      <c r="E205" s="146"/>
      <c r="F205" s="146"/>
      <c r="G205" s="146"/>
      <c r="H205" s="146"/>
    </row>
    <row r="206" spans="2:12" x14ac:dyDescent="0.25">
      <c r="C206" s="154"/>
      <c r="D206" s="146"/>
      <c r="E206" s="146"/>
      <c r="F206" s="146"/>
      <c r="G206" s="146"/>
      <c r="H206" s="146"/>
      <c r="K206" s="146"/>
      <c r="L206" s="146"/>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N92"/>
  <sheetViews>
    <sheetView showGridLines="0" topLeftCell="A40" zoomScale="80" zoomScaleNormal="80" workbookViewId="0">
      <selection activeCell="H78" sqref="H78"/>
    </sheetView>
  </sheetViews>
  <sheetFormatPr defaultColWidth="9.140625" defaultRowHeight="15.75" x14ac:dyDescent="0.25"/>
  <cols>
    <col min="1" max="1" width="4.28515625" style="76" customWidth="1"/>
    <col min="2" max="2" width="41" style="76" customWidth="1"/>
    <col min="3" max="3" width="13.85546875" style="76" bestFit="1" customWidth="1"/>
    <col min="4" max="11" width="18.7109375" style="76" customWidth="1"/>
    <col min="12" max="12" width="9.140625" style="76"/>
    <col min="13" max="13" width="7.42578125" style="76" bestFit="1" customWidth="1"/>
    <col min="14" max="16384" width="9.140625" style="76"/>
  </cols>
  <sheetData>
    <row r="2" spans="1:13" ht="19.5" customHeight="1" x14ac:dyDescent="0.25">
      <c r="A2" s="86" t="s">
        <v>228</v>
      </c>
      <c r="B2" s="85"/>
      <c r="C2" s="85"/>
      <c r="D2" s="85"/>
      <c r="E2" s="85"/>
      <c r="F2" s="85"/>
      <c r="G2" s="85"/>
      <c r="H2" s="85"/>
      <c r="I2" s="85"/>
      <c r="J2" s="85"/>
      <c r="K2" s="85"/>
    </row>
    <row r="3" spans="1:13" x14ac:dyDescent="0.25">
      <c r="A3" s="77"/>
      <c r="B3" s="77"/>
      <c r="C3" s="77"/>
      <c r="D3" s="77"/>
      <c r="E3" s="54"/>
      <c r="F3" s="54"/>
      <c r="G3" s="54"/>
      <c r="H3" s="54"/>
      <c r="I3" s="54"/>
      <c r="J3" s="54"/>
      <c r="K3" s="54"/>
      <c r="L3" s="54"/>
      <c r="M3" s="54"/>
    </row>
    <row r="4" spans="1:13" ht="16.5" customHeight="1" x14ac:dyDescent="0.25">
      <c r="A4" s="273" t="s">
        <v>122</v>
      </c>
      <c r="B4" s="273"/>
      <c r="C4" s="84"/>
      <c r="D4" s="84"/>
      <c r="E4" s="84"/>
      <c r="F4" s="84"/>
      <c r="G4" s="84"/>
      <c r="H4" s="84"/>
      <c r="I4" s="84"/>
      <c r="J4" s="84"/>
      <c r="K4" s="84"/>
      <c r="L4" s="54"/>
      <c r="M4" s="54"/>
    </row>
    <row r="5" spans="1:13" ht="11.25" customHeight="1" x14ac:dyDescent="0.25">
      <c r="A5" s="54"/>
      <c r="B5" s="54"/>
      <c r="C5" s="54"/>
      <c r="D5" s="54"/>
      <c r="E5" s="54"/>
      <c r="F5" s="54"/>
      <c r="G5" s="54"/>
      <c r="H5" s="54"/>
      <c r="I5" s="54"/>
      <c r="J5" s="54"/>
      <c r="K5" s="54"/>
      <c r="L5" s="54"/>
      <c r="M5" s="54"/>
    </row>
    <row r="6" spans="1:13" s="80" customFormat="1" ht="16.5" customHeight="1" x14ac:dyDescent="0.25">
      <c r="A6" s="88">
        <v>1</v>
      </c>
      <c r="B6" s="87" t="s">
        <v>156</v>
      </c>
      <c r="C6" s="87"/>
      <c r="D6" s="88" t="s">
        <v>2</v>
      </c>
      <c r="E6" s="88" t="s">
        <v>56</v>
      </c>
      <c r="F6" s="88" t="s">
        <v>59</v>
      </c>
      <c r="G6" s="88" t="s">
        <v>60</v>
      </c>
      <c r="H6" s="88" t="s">
        <v>61</v>
      </c>
      <c r="I6" s="88" t="s">
        <v>79</v>
      </c>
      <c r="J6" s="88" t="s">
        <v>81</v>
      </c>
      <c r="K6" s="88" t="s">
        <v>168</v>
      </c>
      <c r="L6" s="79"/>
      <c r="M6" s="79"/>
    </row>
    <row r="7" spans="1:13" ht="20.100000000000001" customHeight="1" x14ac:dyDescent="0.25">
      <c r="A7" s="81"/>
      <c r="B7" s="29" t="s">
        <v>124</v>
      </c>
      <c r="C7" s="29" t="s">
        <v>125</v>
      </c>
      <c r="D7" s="89">
        <v>0</v>
      </c>
      <c r="E7" s="90">
        <v>16</v>
      </c>
      <c r="F7" s="90">
        <v>16</v>
      </c>
      <c r="G7" s="90">
        <v>16</v>
      </c>
      <c r="H7" s="90">
        <v>16</v>
      </c>
      <c r="I7" s="90">
        <v>16</v>
      </c>
      <c r="J7" s="90">
        <v>16</v>
      </c>
      <c r="K7" s="90">
        <v>16</v>
      </c>
      <c r="L7" s="54"/>
      <c r="M7" s="54"/>
    </row>
    <row r="8" spans="1:13" ht="20.100000000000001" customHeight="1" x14ac:dyDescent="0.25">
      <c r="A8" s="81"/>
      <c r="B8" s="29" t="s">
        <v>126</v>
      </c>
      <c r="C8" s="29"/>
      <c r="D8" s="61"/>
      <c r="E8" s="29">
        <v>1</v>
      </c>
      <c r="F8" s="29">
        <v>1</v>
      </c>
      <c r="G8" s="29">
        <v>1</v>
      </c>
      <c r="H8" s="29">
        <v>1</v>
      </c>
      <c r="I8" s="29">
        <v>1</v>
      </c>
      <c r="J8" s="29">
        <v>1</v>
      </c>
      <c r="K8" s="29">
        <v>1</v>
      </c>
      <c r="L8" s="54"/>
      <c r="M8" s="54"/>
    </row>
    <row r="9" spans="1:13" ht="20.100000000000001" customHeight="1" x14ac:dyDescent="0.25">
      <c r="A9" s="81"/>
      <c r="B9" s="29" t="s">
        <v>127</v>
      </c>
      <c r="C9" s="29"/>
      <c r="D9" s="61"/>
      <c r="E9" s="29">
        <v>25</v>
      </c>
      <c r="F9" s="29">
        <v>25</v>
      </c>
      <c r="G9" s="29">
        <v>25</v>
      </c>
      <c r="H9" s="29">
        <v>25</v>
      </c>
      <c r="I9" s="29">
        <v>25</v>
      </c>
      <c r="J9" s="29">
        <v>25</v>
      </c>
      <c r="K9" s="29">
        <v>25</v>
      </c>
      <c r="L9" s="54"/>
      <c r="M9" s="54"/>
    </row>
    <row r="10" spans="1:13" ht="20.100000000000001" customHeight="1" x14ac:dyDescent="0.25">
      <c r="A10" s="81"/>
      <c r="B10" s="29" t="s">
        <v>128</v>
      </c>
      <c r="C10" s="29"/>
      <c r="D10" s="61"/>
      <c r="E10" s="29">
        <v>6</v>
      </c>
      <c r="F10" s="29">
        <v>12</v>
      </c>
      <c r="G10" s="29">
        <f>F10</f>
        <v>12</v>
      </c>
      <c r="H10" s="29">
        <f>G10</f>
        <v>12</v>
      </c>
      <c r="I10" s="29">
        <f>H10</f>
        <v>12</v>
      </c>
      <c r="J10" s="29">
        <f>I10</f>
        <v>12</v>
      </c>
      <c r="K10" s="29">
        <f>J10</f>
        <v>12</v>
      </c>
      <c r="L10" s="54"/>
      <c r="M10" s="54"/>
    </row>
    <row r="11" spans="1:13" ht="20.100000000000001" customHeight="1" x14ac:dyDescent="0.25">
      <c r="A11" s="81"/>
      <c r="B11" s="29" t="s">
        <v>129</v>
      </c>
      <c r="C11" s="29" t="s">
        <v>125</v>
      </c>
      <c r="D11" s="62">
        <f>D7*D8*D9*D10</f>
        <v>0</v>
      </c>
      <c r="E11" s="63">
        <f t="shared" ref="E11:K11" si="0">E7*E8*E9*E10</f>
        <v>2400</v>
      </c>
      <c r="F11" s="63">
        <f t="shared" si="0"/>
        <v>4800</v>
      </c>
      <c r="G11" s="63">
        <f t="shared" si="0"/>
        <v>4800</v>
      </c>
      <c r="H11" s="63">
        <f t="shared" si="0"/>
        <v>4800</v>
      </c>
      <c r="I11" s="63">
        <f t="shared" si="0"/>
        <v>4800</v>
      </c>
      <c r="J11" s="63">
        <f t="shared" si="0"/>
        <v>4800</v>
      </c>
      <c r="K11" s="63">
        <f t="shared" si="0"/>
        <v>4800</v>
      </c>
      <c r="L11" s="54"/>
      <c r="M11" s="54"/>
    </row>
    <row r="12" spans="1:13" ht="20.100000000000001" customHeight="1" x14ac:dyDescent="0.25">
      <c r="A12" s="81"/>
      <c r="B12" s="29" t="s">
        <v>130</v>
      </c>
      <c r="C12" s="29"/>
      <c r="D12" s="64"/>
      <c r="E12" s="65">
        <v>0.5</v>
      </c>
      <c r="F12" s="66">
        <v>0.51</v>
      </c>
      <c r="G12" s="66">
        <v>0.53</v>
      </c>
      <c r="H12" s="66">
        <v>0.54</v>
      </c>
      <c r="I12" s="66">
        <v>0.55000000000000004</v>
      </c>
      <c r="J12" s="66">
        <v>0.56000000000000005</v>
      </c>
      <c r="K12" s="66">
        <v>0.56999999999999995</v>
      </c>
      <c r="L12" s="54"/>
      <c r="M12" s="54"/>
    </row>
    <row r="13" spans="1:13" s="80" customFormat="1" ht="20.100000000000001" customHeight="1" x14ac:dyDescent="0.25">
      <c r="A13" s="78"/>
      <c r="B13" s="29" t="s">
        <v>159</v>
      </c>
      <c r="C13" s="29" t="s">
        <v>132</v>
      </c>
      <c r="D13" s="62">
        <f>D11*D12</f>
        <v>0</v>
      </c>
      <c r="E13" s="63">
        <f t="shared" ref="E13:K13" si="1">E11*E12</f>
        <v>1200</v>
      </c>
      <c r="F13" s="63">
        <f t="shared" si="1"/>
        <v>2448</v>
      </c>
      <c r="G13" s="63">
        <f t="shared" si="1"/>
        <v>2544</v>
      </c>
      <c r="H13" s="63">
        <f t="shared" si="1"/>
        <v>2592</v>
      </c>
      <c r="I13" s="63">
        <f t="shared" si="1"/>
        <v>2640</v>
      </c>
      <c r="J13" s="63">
        <f t="shared" si="1"/>
        <v>2688.0000000000005</v>
      </c>
      <c r="K13" s="63">
        <f t="shared" si="1"/>
        <v>2735.9999999999995</v>
      </c>
      <c r="L13" s="79"/>
      <c r="M13" s="213">
        <f>F13/12</f>
        <v>204</v>
      </c>
    </row>
    <row r="14" spans="1:13" s="80" customFormat="1" ht="20.100000000000001" customHeight="1" x14ac:dyDescent="0.25">
      <c r="A14" s="78"/>
      <c r="B14" s="29" t="s">
        <v>159</v>
      </c>
      <c r="C14" s="29" t="s">
        <v>154</v>
      </c>
      <c r="D14" s="62">
        <f>D13*1000</f>
        <v>0</v>
      </c>
      <c r="E14" s="63">
        <f>E13*1000</f>
        <v>1200000</v>
      </c>
      <c r="F14" s="63">
        <f t="shared" ref="F14:K14" si="2">F13*1000</f>
        <v>2448000</v>
      </c>
      <c r="G14" s="63">
        <f t="shared" si="2"/>
        <v>2544000</v>
      </c>
      <c r="H14" s="63">
        <f t="shared" si="2"/>
        <v>2592000</v>
      </c>
      <c r="I14" s="63">
        <f t="shared" si="2"/>
        <v>2640000</v>
      </c>
      <c r="J14" s="63">
        <f t="shared" si="2"/>
        <v>2688000.0000000005</v>
      </c>
      <c r="K14" s="63">
        <f t="shared" si="2"/>
        <v>2735999.9999999995</v>
      </c>
      <c r="L14" s="79"/>
      <c r="M14" s="79"/>
    </row>
    <row r="15" spans="1:13" s="80" customFormat="1" ht="20.100000000000001" customHeight="1" x14ac:dyDescent="0.25">
      <c r="A15" s="78"/>
      <c r="B15" s="29" t="s">
        <v>157</v>
      </c>
      <c r="C15" s="29" t="s">
        <v>158</v>
      </c>
      <c r="D15" s="62">
        <v>0</v>
      </c>
      <c r="E15" s="63">
        <v>83</v>
      </c>
      <c r="F15" s="63">
        <v>85</v>
      </c>
      <c r="G15" s="63">
        <v>85</v>
      </c>
      <c r="H15" s="63">
        <v>87</v>
      </c>
      <c r="I15" s="63">
        <v>89</v>
      </c>
      <c r="J15" s="63">
        <v>90</v>
      </c>
      <c r="K15" s="63">
        <v>90</v>
      </c>
      <c r="L15" s="79"/>
      <c r="M15" s="79"/>
    </row>
    <row r="16" spans="1:13" s="80" customFormat="1" ht="20.100000000000001" customHeight="1" x14ac:dyDescent="0.25">
      <c r="A16" s="78"/>
      <c r="B16" s="29" t="s">
        <v>156</v>
      </c>
      <c r="C16" s="29" t="s">
        <v>158</v>
      </c>
      <c r="D16" s="62">
        <f>D14*D15</f>
        <v>0</v>
      </c>
      <c r="E16" s="63">
        <f>E14*E15</f>
        <v>99600000</v>
      </c>
      <c r="F16" s="63">
        <f t="shared" ref="F16:K16" si="3">F14*F15</f>
        <v>208080000</v>
      </c>
      <c r="G16" s="63">
        <f t="shared" si="3"/>
        <v>216240000</v>
      </c>
      <c r="H16" s="63">
        <f t="shared" si="3"/>
        <v>225504000</v>
      </c>
      <c r="I16" s="63">
        <f t="shared" si="3"/>
        <v>234960000</v>
      </c>
      <c r="J16" s="63">
        <f t="shared" si="3"/>
        <v>241920000.00000003</v>
      </c>
      <c r="K16" s="63">
        <f t="shared" si="3"/>
        <v>246239999.99999997</v>
      </c>
      <c r="L16" s="79"/>
      <c r="M16" s="79"/>
    </row>
    <row r="17" spans="1:13" s="80" customFormat="1" ht="20.100000000000001" customHeight="1" x14ac:dyDescent="0.25">
      <c r="A17" s="78"/>
      <c r="B17" s="29"/>
      <c r="C17" s="29"/>
      <c r="D17" s="63"/>
      <c r="E17" s="63"/>
      <c r="F17" s="63"/>
      <c r="G17" s="63"/>
      <c r="H17" s="63"/>
      <c r="I17" s="63"/>
      <c r="J17" s="63"/>
      <c r="K17" s="63"/>
      <c r="L17" s="79"/>
      <c r="M17" s="79"/>
    </row>
    <row r="18" spans="1:13" s="80" customFormat="1" ht="20.100000000000001" customHeight="1" x14ac:dyDescent="0.25">
      <c r="A18" s="78"/>
      <c r="B18" s="29" t="s">
        <v>165</v>
      </c>
      <c r="C18" s="29" t="s">
        <v>154</v>
      </c>
      <c r="D18" s="63">
        <v>0</v>
      </c>
      <c r="E18" s="63">
        <v>0</v>
      </c>
      <c r="F18" s="63">
        <f t="shared" ref="F18:K19" si="4">E21</f>
        <v>160000</v>
      </c>
      <c r="G18" s="63">
        <f t="shared" si="4"/>
        <v>168000</v>
      </c>
      <c r="H18" s="63">
        <f t="shared" si="4"/>
        <v>176400</v>
      </c>
      <c r="I18" s="63">
        <f t="shared" si="4"/>
        <v>185220</v>
      </c>
      <c r="J18" s="63">
        <f t="shared" si="4"/>
        <v>194481</v>
      </c>
      <c r="K18" s="63">
        <f t="shared" si="4"/>
        <v>204205.05000000002</v>
      </c>
      <c r="L18" s="79"/>
      <c r="M18" s="79"/>
    </row>
    <row r="19" spans="1:13" s="80" customFormat="1" ht="20.100000000000001" customHeight="1" x14ac:dyDescent="0.25">
      <c r="A19" s="78"/>
      <c r="B19" s="29"/>
      <c r="C19" s="29" t="s">
        <v>158</v>
      </c>
      <c r="D19" s="63">
        <v>0</v>
      </c>
      <c r="E19" s="63">
        <v>0</v>
      </c>
      <c r="F19" s="63">
        <f t="shared" si="4"/>
        <v>13280000</v>
      </c>
      <c r="G19" s="63">
        <f t="shared" si="4"/>
        <v>14280000</v>
      </c>
      <c r="H19" s="63">
        <f t="shared" si="4"/>
        <v>14994000</v>
      </c>
      <c r="I19" s="63">
        <f t="shared" si="4"/>
        <v>16114140</v>
      </c>
      <c r="J19" s="63">
        <f t="shared" si="4"/>
        <v>17308809</v>
      </c>
      <c r="K19" s="63">
        <f t="shared" si="4"/>
        <v>18378454.5</v>
      </c>
      <c r="L19" s="79"/>
      <c r="M19" s="79"/>
    </row>
    <row r="20" spans="1:13" s="80" customFormat="1" ht="20.100000000000001" customHeight="1" x14ac:dyDescent="0.25">
      <c r="A20" s="78"/>
      <c r="B20" s="29"/>
      <c r="C20" s="29"/>
      <c r="D20" s="63"/>
      <c r="E20" s="63"/>
      <c r="F20" s="63"/>
      <c r="G20" s="63"/>
      <c r="H20" s="63"/>
      <c r="I20" s="63"/>
      <c r="J20" s="63"/>
      <c r="K20" s="63"/>
      <c r="L20" s="79"/>
      <c r="M20" s="79"/>
    </row>
    <row r="21" spans="1:13" s="80" customFormat="1" ht="20.100000000000001" customHeight="1" x14ac:dyDescent="0.25">
      <c r="A21" s="78"/>
      <c r="B21" s="29" t="s">
        <v>164</v>
      </c>
      <c r="C21" s="29" t="s">
        <v>154</v>
      </c>
      <c r="D21" s="63">
        <v>0</v>
      </c>
      <c r="E21" s="62">
        <f>E7*E8*10*1000</f>
        <v>160000</v>
      </c>
      <c r="F21" s="63">
        <f t="shared" ref="F21:K21" si="5">E21*105%</f>
        <v>168000</v>
      </c>
      <c r="G21" s="63">
        <f t="shared" si="5"/>
        <v>176400</v>
      </c>
      <c r="H21" s="63">
        <f t="shared" si="5"/>
        <v>185220</v>
      </c>
      <c r="I21" s="63">
        <f t="shared" si="5"/>
        <v>194481</v>
      </c>
      <c r="J21" s="63">
        <f t="shared" si="5"/>
        <v>204205.05000000002</v>
      </c>
      <c r="K21" s="63">
        <f t="shared" si="5"/>
        <v>214415.30250000002</v>
      </c>
      <c r="L21" s="79"/>
      <c r="M21" s="79"/>
    </row>
    <row r="22" spans="1:13" s="80" customFormat="1" ht="20.100000000000001" customHeight="1" x14ac:dyDescent="0.25">
      <c r="A22" s="78"/>
      <c r="B22" s="29"/>
      <c r="C22" s="29" t="s">
        <v>158</v>
      </c>
      <c r="D22" s="63">
        <f>D21*D15</f>
        <v>0</v>
      </c>
      <c r="E22" s="63">
        <f>E21*E15</f>
        <v>13280000</v>
      </c>
      <c r="F22" s="63">
        <f t="shared" ref="F22:K22" si="6">F21*F15</f>
        <v>14280000</v>
      </c>
      <c r="G22" s="63">
        <f t="shared" si="6"/>
        <v>14994000</v>
      </c>
      <c r="H22" s="63">
        <f t="shared" si="6"/>
        <v>16114140</v>
      </c>
      <c r="I22" s="63">
        <f t="shared" si="6"/>
        <v>17308809</v>
      </c>
      <c r="J22" s="63">
        <f t="shared" si="6"/>
        <v>18378454.5</v>
      </c>
      <c r="K22" s="63">
        <f t="shared" si="6"/>
        <v>19297377.225000001</v>
      </c>
      <c r="L22" s="79"/>
      <c r="M22" s="79"/>
    </row>
    <row r="23" spans="1:13" s="80" customFormat="1" ht="20.100000000000001" customHeight="1" x14ac:dyDescent="0.25">
      <c r="A23" s="78"/>
      <c r="B23" s="29"/>
      <c r="C23" s="29"/>
      <c r="D23" s="63"/>
      <c r="E23" s="63"/>
      <c r="F23" s="63"/>
      <c r="G23" s="63"/>
      <c r="H23" s="63"/>
      <c r="I23" s="63"/>
      <c r="J23" s="63"/>
      <c r="K23" s="63"/>
      <c r="L23" s="79"/>
      <c r="M23" s="79"/>
    </row>
    <row r="24" spans="1:13" s="80" customFormat="1" ht="20.100000000000001" customHeight="1" x14ac:dyDescent="0.25">
      <c r="A24" s="78"/>
      <c r="B24" s="29" t="s">
        <v>166</v>
      </c>
      <c r="C24" s="29" t="s">
        <v>154</v>
      </c>
      <c r="D24" s="63">
        <f>D21+D14-D18</f>
        <v>0</v>
      </c>
      <c r="E24" s="63">
        <f>E21+E14-E18</f>
        <v>1360000</v>
      </c>
      <c r="F24" s="63">
        <f t="shared" ref="F24:K24" si="7">F21+F14-F18</f>
        <v>2456000</v>
      </c>
      <c r="G24" s="63">
        <f t="shared" si="7"/>
        <v>2552400</v>
      </c>
      <c r="H24" s="63">
        <f t="shared" si="7"/>
        <v>2600820</v>
      </c>
      <c r="I24" s="63">
        <f t="shared" si="7"/>
        <v>2649261</v>
      </c>
      <c r="J24" s="63">
        <f t="shared" si="7"/>
        <v>2697724.0500000003</v>
      </c>
      <c r="K24" s="63">
        <f t="shared" si="7"/>
        <v>2746210.2524999999</v>
      </c>
      <c r="L24" s="79"/>
      <c r="M24" s="79"/>
    </row>
    <row r="25" spans="1:13" s="80" customFormat="1" ht="20.100000000000001" customHeight="1" x14ac:dyDescent="0.25">
      <c r="A25" s="78"/>
      <c r="B25" s="29"/>
      <c r="C25" s="29" t="s">
        <v>158</v>
      </c>
      <c r="D25" s="63">
        <f>D24*D15</f>
        <v>0</v>
      </c>
      <c r="E25" s="63">
        <f>E24*E15</f>
        <v>112880000</v>
      </c>
      <c r="F25" s="63">
        <f t="shared" ref="F25:K25" si="8">F24*F15</f>
        <v>208760000</v>
      </c>
      <c r="G25" s="63">
        <f t="shared" si="8"/>
        <v>216954000</v>
      </c>
      <c r="H25" s="63">
        <f t="shared" si="8"/>
        <v>226271340</v>
      </c>
      <c r="I25" s="63">
        <f t="shared" si="8"/>
        <v>235784229</v>
      </c>
      <c r="J25" s="63">
        <f t="shared" si="8"/>
        <v>242795164.50000003</v>
      </c>
      <c r="K25" s="63">
        <f t="shared" si="8"/>
        <v>247158922.72499999</v>
      </c>
      <c r="L25" s="79"/>
      <c r="M25" s="79"/>
    </row>
    <row r="26" spans="1:13" s="80" customFormat="1" ht="20.100000000000001" customHeight="1" x14ac:dyDescent="0.25">
      <c r="A26" s="78"/>
      <c r="B26" s="29"/>
      <c r="C26" s="29"/>
      <c r="D26" s="29"/>
      <c r="E26" s="63"/>
      <c r="F26" s="63"/>
      <c r="G26" s="63"/>
      <c r="H26" s="63"/>
      <c r="I26" s="63"/>
      <c r="J26" s="63"/>
      <c r="K26" s="63"/>
      <c r="L26" s="79"/>
      <c r="M26" s="79"/>
    </row>
    <row r="27" spans="1:13" ht="20.100000000000001" customHeight="1" x14ac:dyDescent="0.25">
      <c r="A27" s="81"/>
      <c r="B27" s="29"/>
      <c r="C27" s="29"/>
      <c r="D27" s="29"/>
      <c r="E27" s="29"/>
      <c r="F27" s="29"/>
      <c r="G27" s="29"/>
      <c r="H27" s="29"/>
      <c r="I27" s="29"/>
      <c r="J27" s="29"/>
      <c r="K27" s="29"/>
      <c r="L27" s="54"/>
      <c r="M27" s="54"/>
    </row>
    <row r="28" spans="1:13" ht="20.100000000000001" customHeight="1" x14ac:dyDescent="0.25">
      <c r="A28" s="78">
        <f>A6+1</f>
        <v>2</v>
      </c>
      <c r="B28" s="67" t="s">
        <v>133</v>
      </c>
      <c r="C28" s="29"/>
      <c r="D28" s="29"/>
      <c r="E28" s="29"/>
      <c r="F28" s="29"/>
      <c r="G28" s="29"/>
      <c r="H28" s="29"/>
      <c r="I28" s="29"/>
      <c r="J28" s="29"/>
      <c r="K28" s="29"/>
      <c r="L28" s="54"/>
      <c r="M28" s="54"/>
    </row>
    <row r="29" spans="1:13" ht="20.100000000000001" customHeight="1" x14ac:dyDescent="0.25">
      <c r="A29" s="81"/>
      <c r="B29" s="58" t="s">
        <v>123</v>
      </c>
      <c r="C29" s="58"/>
      <c r="D29" s="57" t="s">
        <v>2</v>
      </c>
      <c r="E29" s="57" t="s">
        <v>56</v>
      </c>
      <c r="F29" s="57" t="s">
        <v>59</v>
      </c>
      <c r="G29" s="57" t="s">
        <v>60</v>
      </c>
      <c r="H29" s="57" t="s">
        <v>61</v>
      </c>
      <c r="I29" s="57" t="s">
        <v>79</v>
      </c>
      <c r="J29" s="57" t="s">
        <v>81</v>
      </c>
      <c r="K29" s="57" t="s">
        <v>168</v>
      </c>
      <c r="L29" s="54"/>
      <c r="M29" s="54"/>
    </row>
    <row r="30" spans="1:13" ht="20.100000000000001" customHeight="1" x14ac:dyDescent="0.25">
      <c r="A30" s="81"/>
      <c r="B30" s="29" t="s">
        <v>124</v>
      </c>
      <c r="C30" s="29" t="s">
        <v>125</v>
      </c>
      <c r="D30" s="60">
        <v>0</v>
      </c>
      <c r="E30" s="28">
        <v>4</v>
      </c>
      <c r="F30" s="28">
        <v>4</v>
      </c>
      <c r="G30" s="28">
        <v>4</v>
      </c>
      <c r="H30" s="28">
        <v>4</v>
      </c>
      <c r="I30" s="28">
        <v>4</v>
      </c>
      <c r="J30" s="28">
        <v>4</v>
      </c>
      <c r="K30" s="28">
        <v>4</v>
      </c>
      <c r="L30" s="54"/>
      <c r="M30" s="54"/>
    </row>
    <row r="31" spans="1:13" ht="20.100000000000001" customHeight="1" x14ac:dyDescent="0.25">
      <c r="A31" s="81"/>
      <c r="B31" s="29" t="s">
        <v>126</v>
      </c>
      <c r="C31" s="29"/>
      <c r="D31" s="29"/>
      <c r="E31" s="29">
        <v>1</v>
      </c>
      <c r="F31" s="29">
        <v>1</v>
      </c>
      <c r="G31" s="29">
        <v>1</v>
      </c>
      <c r="H31" s="29">
        <v>1</v>
      </c>
      <c r="I31" s="29">
        <v>1</v>
      </c>
      <c r="J31" s="29">
        <v>1</v>
      </c>
      <c r="K31" s="29">
        <v>1</v>
      </c>
      <c r="L31" s="54"/>
      <c r="M31" s="54"/>
    </row>
    <row r="32" spans="1:13" ht="20.100000000000001" customHeight="1" x14ac:dyDescent="0.25">
      <c r="A32" s="81"/>
      <c r="B32" s="29" t="s">
        <v>127</v>
      </c>
      <c r="C32" s="29"/>
      <c r="D32" s="29"/>
      <c r="E32" s="29">
        <v>25</v>
      </c>
      <c r="F32" s="29">
        <v>25</v>
      </c>
      <c r="G32" s="29">
        <v>25</v>
      </c>
      <c r="H32" s="29">
        <v>25</v>
      </c>
      <c r="I32" s="29">
        <v>25</v>
      </c>
      <c r="J32" s="29">
        <v>25</v>
      </c>
      <c r="K32" s="29">
        <v>25</v>
      </c>
      <c r="L32" s="54"/>
      <c r="M32" s="54"/>
    </row>
    <row r="33" spans="1:13" ht="20.100000000000001" customHeight="1" x14ac:dyDescent="0.25">
      <c r="A33" s="81"/>
      <c r="B33" s="29" t="s">
        <v>128</v>
      </c>
      <c r="C33" s="29"/>
      <c r="D33" s="29"/>
      <c r="E33" s="29">
        <v>6</v>
      </c>
      <c r="F33" s="29">
        <v>12</v>
      </c>
      <c r="G33" s="29">
        <f>F33</f>
        <v>12</v>
      </c>
      <c r="H33" s="29">
        <f>G33</f>
        <v>12</v>
      </c>
      <c r="I33" s="29">
        <f>H33</f>
        <v>12</v>
      </c>
      <c r="J33" s="29">
        <f>I33</f>
        <v>12</v>
      </c>
      <c r="K33" s="29">
        <f>J33</f>
        <v>12</v>
      </c>
      <c r="L33" s="54"/>
      <c r="M33" s="54"/>
    </row>
    <row r="34" spans="1:13" ht="20.100000000000001" customHeight="1" x14ac:dyDescent="0.25">
      <c r="A34" s="81"/>
      <c r="B34" s="29" t="s">
        <v>129</v>
      </c>
      <c r="C34" s="29" t="s">
        <v>125</v>
      </c>
      <c r="D34" s="63">
        <f>D30*D31*D32*D33</f>
        <v>0</v>
      </c>
      <c r="E34" s="63">
        <f t="shared" ref="E34:K34" si="9">E30*E31*E32*E33</f>
        <v>600</v>
      </c>
      <c r="F34" s="63">
        <f t="shared" si="9"/>
        <v>1200</v>
      </c>
      <c r="G34" s="63">
        <f t="shared" si="9"/>
        <v>1200</v>
      </c>
      <c r="H34" s="63">
        <f t="shared" si="9"/>
        <v>1200</v>
      </c>
      <c r="I34" s="63">
        <f t="shared" si="9"/>
        <v>1200</v>
      </c>
      <c r="J34" s="63">
        <f t="shared" si="9"/>
        <v>1200</v>
      </c>
      <c r="K34" s="63">
        <f t="shared" si="9"/>
        <v>1200</v>
      </c>
      <c r="L34" s="54"/>
      <c r="M34" s="54"/>
    </row>
    <row r="35" spans="1:13" ht="20.100000000000001" customHeight="1" x14ac:dyDescent="0.25">
      <c r="A35" s="81"/>
      <c r="B35" s="29" t="s">
        <v>130</v>
      </c>
      <c r="C35" s="29"/>
      <c r="D35" s="65"/>
      <c r="E35" s="65">
        <v>0.48</v>
      </c>
      <c r="F35" s="215">
        <f>E35+3%</f>
        <v>0.51</v>
      </c>
      <c r="G35" s="215">
        <f t="shared" ref="G35:K35" si="10">F35+3%</f>
        <v>0.54</v>
      </c>
      <c r="H35" s="215">
        <f t="shared" si="10"/>
        <v>0.57000000000000006</v>
      </c>
      <c r="I35" s="215">
        <f t="shared" si="10"/>
        <v>0.60000000000000009</v>
      </c>
      <c r="J35" s="215">
        <f t="shared" si="10"/>
        <v>0.63000000000000012</v>
      </c>
      <c r="K35" s="215">
        <f t="shared" si="10"/>
        <v>0.66000000000000014</v>
      </c>
      <c r="L35" s="54"/>
      <c r="M35" s="54"/>
    </row>
    <row r="36" spans="1:13" ht="20.100000000000001" customHeight="1" x14ac:dyDescent="0.25">
      <c r="A36" s="81"/>
      <c r="B36" s="29" t="s">
        <v>131</v>
      </c>
      <c r="C36" s="29" t="s">
        <v>132</v>
      </c>
      <c r="D36" s="63">
        <f>D34*D35</f>
        <v>0</v>
      </c>
      <c r="E36" s="63">
        <f t="shared" ref="E36:K36" si="11">E34*E35</f>
        <v>288</v>
      </c>
      <c r="F36" s="63">
        <f t="shared" si="11"/>
        <v>612</v>
      </c>
      <c r="G36" s="63">
        <f t="shared" si="11"/>
        <v>648</v>
      </c>
      <c r="H36" s="63">
        <f t="shared" si="11"/>
        <v>684.00000000000011</v>
      </c>
      <c r="I36" s="63">
        <f t="shared" si="11"/>
        <v>720.00000000000011</v>
      </c>
      <c r="J36" s="63">
        <f t="shared" si="11"/>
        <v>756.00000000000011</v>
      </c>
      <c r="K36" s="63">
        <f t="shared" si="11"/>
        <v>792.00000000000023</v>
      </c>
      <c r="L36" s="54"/>
      <c r="M36" s="54"/>
    </row>
    <row r="37" spans="1:13" ht="20.100000000000001" customHeight="1" x14ac:dyDescent="0.25">
      <c r="A37" s="81"/>
      <c r="B37" s="29" t="s">
        <v>131</v>
      </c>
      <c r="C37" s="29" t="s">
        <v>154</v>
      </c>
      <c r="D37" s="63">
        <f>D36*1000</f>
        <v>0</v>
      </c>
      <c r="E37" s="63">
        <f>E36*1000</f>
        <v>288000</v>
      </c>
      <c r="F37" s="63">
        <f t="shared" ref="F37:K37" si="12">F36*1000</f>
        <v>612000</v>
      </c>
      <c r="G37" s="63">
        <f t="shared" si="12"/>
        <v>648000</v>
      </c>
      <c r="H37" s="63">
        <f t="shared" si="12"/>
        <v>684000.00000000012</v>
      </c>
      <c r="I37" s="63">
        <f t="shared" si="12"/>
        <v>720000.00000000012</v>
      </c>
      <c r="J37" s="63">
        <f t="shared" si="12"/>
        <v>756000.00000000012</v>
      </c>
      <c r="K37" s="63">
        <f t="shared" si="12"/>
        <v>792000.00000000023</v>
      </c>
      <c r="L37" s="54"/>
      <c r="M37" s="54"/>
    </row>
    <row r="38" spans="1:13" ht="20.100000000000001" customHeight="1" x14ac:dyDescent="0.25">
      <c r="A38" s="81"/>
      <c r="B38" s="29"/>
      <c r="C38" s="29"/>
      <c r="D38" s="63"/>
      <c r="E38" s="63"/>
      <c r="F38" s="63"/>
      <c r="G38" s="63"/>
      <c r="H38" s="63"/>
      <c r="I38" s="63"/>
      <c r="J38" s="63"/>
      <c r="K38" s="63"/>
      <c r="L38" s="54"/>
      <c r="M38" s="54"/>
    </row>
    <row r="39" spans="1:13" ht="20.100000000000001" customHeight="1" x14ac:dyDescent="0.25">
      <c r="A39" s="81"/>
      <c r="B39" s="29" t="s">
        <v>163</v>
      </c>
      <c r="C39" s="29" t="s">
        <v>154</v>
      </c>
      <c r="D39" s="63">
        <v>0</v>
      </c>
      <c r="E39" s="63">
        <v>0</v>
      </c>
      <c r="F39" s="63">
        <f>E42</f>
        <v>14400</v>
      </c>
      <c r="G39" s="63">
        <f t="shared" ref="G39:K40" si="13">F42</f>
        <v>30600</v>
      </c>
      <c r="H39" s="63">
        <f t="shared" si="13"/>
        <v>32400</v>
      </c>
      <c r="I39" s="63">
        <f t="shared" si="13"/>
        <v>34200.000000000007</v>
      </c>
      <c r="J39" s="63">
        <f t="shared" si="13"/>
        <v>36000.000000000007</v>
      </c>
      <c r="K39" s="63">
        <f t="shared" si="13"/>
        <v>37800.000000000007</v>
      </c>
      <c r="L39" s="54"/>
      <c r="M39" s="54"/>
    </row>
    <row r="40" spans="1:13" ht="20.100000000000001" customHeight="1" x14ac:dyDescent="0.25">
      <c r="A40" s="81"/>
      <c r="B40" s="29"/>
      <c r="C40" s="29" t="s">
        <v>158</v>
      </c>
      <c r="D40" s="63">
        <v>0</v>
      </c>
      <c r="E40" s="63">
        <v>0</v>
      </c>
      <c r="F40" s="63">
        <f>E43</f>
        <v>5880000</v>
      </c>
      <c r="G40" s="63">
        <f t="shared" si="13"/>
        <v>12331800</v>
      </c>
      <c r="H40" s="63">
        <f t="shared" si="13"/>
        <v>12915570</v>
      </c>
      <c r="I40" s="63">
        <f t="shared" si="13"/>
        <v>13525623.000000002</v>
      </c>
      <c r="J40" s="63">
        <f t="shared" si="13"/>
        <v>14154702.375000002</v>
      </c>
      <c r="K40" s="63">
        <f t="shared" si="13"/>
        <v>14668983.630000001</v>
      </c>
      <c r="L40" s="54"/>
      <c r="M40" s="54"/>
    </row>
    <row r="41" spans="1:13" ht="20.100000000000001" customHeight="1" x14ac:dyDescent="0.25">
      <c r="A41" s="81"/>
      <c r="B41" s="29"/>
      <c r="C41" s="29"/>
      <c r="D41" s="63"/>
      <c r="E41" s="63"/>
      <c r="F41" s="63"/>
      <c r="G41" s="63"/>
      <c r="H41" s="63"/>
      <c r="I41" s="63"/>
      <c r="J41" s="63"/>
      <c r="K41" s="63"/>
      <c r="L41" s="54"/>
      <c r="M41" s="54"/>
    </row>
    <row r="42" spans="1:13" ht="20.100000000000001" customHeight="1" x14ac:dyDescent="0.25">
      <c r="A42" s="81"/>
      <c r="B42" s="29" t="s">
        <v>164</v>
      </c>
      <c r="C42" s="29" t="s">
        <v>154</v>
      </c>
      <c r="D42" s="63">
        <v>0</v>
      </c>
      <c r="E42" s="63">
        <f>E37*5%</f>
        <v>14400</v>
      </c>
      <c r="F42" s="63">
        <f t="shared" ref="F42:K42" si="14">F37*5%</f>
        <v>30600</v>
      </c>
      <c r="G42" s="63">
        <f t="shared" si="14"/>
        <v>32400</v>
      </c>
      <c r="H42" s="63">
        <f t="shared" si="14"/>
        <v>34200.000000000007</v>
      </c>
      <c r="I42" s="63">
        <f t="shared" si="14"/>
        <v>36000.000000000007</v>
      </c>
      <c r="J42" s="63">
        <f t="shared" si="14"/>
        <v>37800.000000000007</v>
      </c>
      <c r="K42" s="63">
        <f t="shared" si="14"/>
        <v>39600.000000000015</v>
      </c>
      <c r="L42" s="54"/>
      <c r="M42" s="54"/>
    </row>
    <row r="43" spans="1:13" ht="20.100000000000001" customHeight="1" x14ac:dyDescent="0.25">
      <c r="A43" s="81"/>
      <c r="B43" s="29"/>
      <c r="C43" s="29" t="s">
        <v>158</v>
      </c>
      <c r="D43" s="63">
        <v>0</v>
      </c>
      <c r="E43" s="63">
        <f>(E16+E55+E60)/E37*E42</f>
        <v>5880000</v>
      </c>
      <c r="F43" s="63">
        <f t="shared" ref="F43:K43" si="15">(F16+F55+F60)/F37*F42</f>
        <v>12331800</v>
      </c>
      <c r="G43" s="63">
        <f t="shared" si="15"/>
        <v>12915570</v>
      </c>
      <c r="H43" s="63">
        <f t="shared" si="15"/>
        <v>13525623.000000002</v>
      </c>
      <c r="I43" s="63">
        <f t="shared" si="15"/>
        <v>14154702.375000002</v>
      </c>
      <c r="J43" s="63">
        <f t="shared" si="15"/>
        <v>14668983.630000001</v>
      </c>
      <c r="K43" s="63">
        <f t="shared" si="15"/>
        <v>15061876.254562501</v>
      </c>
      <c r="L43" s="54"/>
      <c r="M43" s="54"/>
    </row>
    <row r="44" spans="1:13" ht="20.100000000000001" customHeight="1" x14ac:dyDescent="0.25">
      <c r="A44" s="81"/>
      <c r="B44" s="29"/>
      <c r="C44" s="29"/>
      <c r="D44" s="63"/>
      <c r="E44" s="63"/>
      <c r="F44" s="63"/>
      <c r="G44" s="63"/>
      <c r="H44" s="63"/>
      <c r="I44" s="63"/>
      <c r="J44" s="63"/>
      <c r="K44" s="63"/>
      <c r="L44" s="54"/>
      <c r="M44" s="54"/>
    </row>
    <row r="45" spans="1:13" ht="20.100000000000001" customHeight="1" x14ac:dyDescent="0.25">
      <c r="A45" s="81"/>
      <c r="B45" s="29" t="s">
        <v>167</v>
      </c>
      <c r="C45" s="29" t="s">
        <v>154</v>
      </c>
      <c r="D45" s="63">
        <f>D37+D39-D42</f>
        <v>0</v>
      </c>
      <c r="E45" s="63">
        <f>E37+E39-E42</f>
        <v>273600</v>
      </c>
      <c r="F45" s="63">
        <f t="shared" ref="F45:K45" si="16">F37+F39-F42</f>
        <v>595800</v>
      </c>
      <c r="G45" s="63">
        <f t="shared" si="16"/>
        <v>646200</v>
      </c>
      <c r="H45" s="63">
        <f t="shared" si="16"/>
        <v>682200.00000000012</v>
      </c>
      <c r="I45" s="63">
        <f t="shared" si="16"/>
        <v>718200.00000000012</v>
      </c>
      <c r="J45" s="63">
        <f t="shared" si="16"/>
        <v>754200.00000000012</v>
      </c>
      <c r="K45" s="63">
        <f t="shared" si="16"/>
        <v>790200.00000000023</v>
      </c>
      <c r="L45" s="54"/>
      <c r="M45" s="54"/>
    </row>
    <row r="46" spans="1:13" ht="20.100000000000001" customHeight="1" x14ac:dyDescent="0.25">
      <c r="A46" s="81"/>
      <c r="B46" s="29" t="s">
        <v>160</v>
      </c>
      <c r="C46" s="29" t="s">
        <v>161</v>
      </c>
      <c r="D46" s="62"/>
      <c r="E46" s="63">
        <v>415</v>
      </c>
      <c r="F46" s="63">
        <v>415</v>
      </c>
      <c r="G46" s="63">
        <v>425</v>
      </c>
      <c r="H46" s="63">
        <v>430</v>
      </c>
      <c r="I46" s="63">
        <v>435</v>
      </c>
      <c r="J46" s="63">
        <v>440</v>
      </c>
      <c r="K46" s="63">
        <v>445</v>
      </c>
      <c r="L46" s="54"/>
      <c r="M46" s="54"/>
    </row>
    <row r="47" spans="1:13" ht="20.100000000000001" customHeight="1" x14ac:dyDescent="0.25">
      <c r="A47" s="81"/>
      <c r="B47" s="29" t="s">
        <v>169</v>
      </c>
      <c r="C47" s="29" t="s">
        <v>158</v>
      </c>
      <c r="D47" s="63">
        <f>D45*D46</f>
        <v>0</v>
      </c>
      <c r="E47" s="63">
        <f>E45*E46</f>
        <v>113544000</v>
      </c>
      <c r="F47" s="63">
        <f t="shared" ref="F47:K47" si="17">F45*F46</f>
        <v>247257000</v>
      </c>
      <c r="G47" s="63">
        <f t="shared" si="17"/>
        <v>274635000</v>
      </c>
      <c r="H47" s="63">
        <f t="shared" si="17"/>
        <v>293346000.00000006</v>
      </c>
      <c r="I47" s="63">
        <f t="shared" si="17"/>
        <v>312417000.00000006</v>
      </c>
      <c r="J47" s="63">
        <f t="shared" si="17"/>
        <v>331848000.00000006</v>
      </c>
      <c r="K47" s="63">
        <f t="shared" si="17"/>
        <v>351639000.00000012</v>
      </c>
      <c r="L47" s="54"/>
      <c r="M47" s="54"/>
    </row>
    <row r="48" spans="1:13" ht="20.100000000000001" customHeight="1" x14ac:dyDescent="0.25">
      <c r="A48" s="81"/>
      <c r="B48" s="29"/>
      <c r="C48" s="29"/>
      <c r="D48" s="29"/>
      <c r="E48" s="63"/>
      <c r="F48" s="63"/>
      <c r="G48" s="63"/>
      <c r="H48" s="63"/>
      <c r="I48" s="63"/>
      <c r="J48" s="63"/>
      <c r="K48" s="63"/>
      <c r="L48" s="54"/>
      <c r="M48" s="54"/>
    </row>
    <row r="49" spans="1:14" ht="20.100000000000001" customHeight="1" x14ac:dyDescent="0.25">
      <c r="A49" s="81"/>
      <c r="B49" s="29" t="s">
        <v>220</v>
      </c>
      <c r="C49" s="29"/>
      <c r="D49" s="29"/>
      <c r="E49" s="63">
        <v>200</v>
      </c>
      <c r="F49" s="68"/>
      <c r="G49" s="63"/>
      <c r="H49" s="63"/>
      <c r="I49" s="63"/>
      <c r="J49" s="63"/>
      <c r="K49" s="63"/>
      <c r="L49" s="54"/>
      <c r="M49" s="82"/>
    </row>
    <row r="50" spans="1:14" ht="20.100000000000001" customHeight="1" x14ac:dyDescent="0.25">
      <c r="A50" s="81"/>
      <c r="B50" s="58"/>
      <c r="C50" s="58"/>
      <c r="D50" s="58"/>
      <c r="E50" s="69"/>
      <c r="F50" s="69"/>
      <c r="G50" s="69"/>
      <c r="H50" s="69"/>
      <c r="I50" s="69"/>
      <c r="J50" s="69"/>
      <c r="K50" s="69"/>
      <c r="L50" s="54"/>
      <c r="M50" s="54"/>
    </row>
    <row r="51" spans="1:14" ht="20.100000000000001" customHeight="1" x14ac:dyDescent="0.25">
      <c r="A51" s="81"/>
      <c r="B51" s="29"/>
      <c r="C51" s="29"/>
      <c r="D51" s="29"/>
      <c r="E51" s="29"/>
      <c r="F51" s="70"/>
      <c r="G51" s="29"/>
      <c r="H51" s="29"/>
      <c r="I51" s="29"/>
      <c r="J51" s="29"/>
      <c r="K51" s="29"/>
      <c r="L51" s="54"/>
      <c r="M51" s="54"/>
    </row>
    <row r="52" spans="1:14" ht="20.100000000000001" customHeight="1" x14ac:dyDescent="0.25">
      <c r="A52" s="78">
        <f>A28+1</f>
        <v>3</v>
      </c>
      <c r="B52" s="67" t="s">
        <v>136</v>
      </c>
      <c r="C52" s="29"/>
      <c r="D52" s="29"/>
      <c r="E52" s="29"/>
      <c r="F52" s="29"/>
      <c r="G52" s="29"/>
      <c r="H52" s="29"/>
      <c r="I52" s="29"/>
      <c r="J52" s="29"/>
      <c r="K52" s="29"/>
      <c r="L52" s="54"/>
      <c r="M52" s="54"/>
    </row>
    <row r="53" spans="1:14" ht="20.100000000000001" customHeight="1" x14ac:dyDescent="0.25">
      <c r="A53" s="81"/>
      <c r="B53" s="29" t="s">
        <v>162</v>
      </c>
      <c r="C53" s="29" t="s">
        <v>125</v>
      </c>
      <c r="D53" s="63">
        <f>D13</f>
        <v>0</v>
      </c>
      <c r="E53" s="63">
        <f>E13</f>
        <v>1200</v>
      </c>
      <c r="F53" s="63">
        <f t="shared" ref="F53:K53" si="18">F13</f>
        <v>2448</v>
      </c>
      <c r="G53" s="63">
        <f t="shared" si="18"/>
        <v>2544</v>
      </c>
      <c r="H53" s="63">
        <f t="shared" si="18"/>
        <v>2592</v>
      </c>
      <c r="I53" s="63">
        <f t="shared" si="18"/>
        <v>2640</v>
      </c>
      <c r="J53" s="63">
        <f t="shared" si="18"/>
        <v>2688.0000000000005</v>
      </c>
      <c r="K53" s="63">
        <f t="shared" si="18"/>
        <v>2735.9999999999995</v>
      </c>
      <c r="L53" s="54"/>
      <c r="M53" s="54"/>
    </row>
    <row r="54" spans="1:14" ht="20.100000000000001" customHeight="1" x14ac:dyDescent="0.25">
      <c r="A54" s="81"/>
      <c r="B54" s="29" t="s">
        <v>138</v>
      </c>
      <c r="C54" s="29" t="s">
        <v>134</v>
      </c>
      <c r="D54" s="63">
        <v>5000</v>
      </c>
      <c r="E54" s="63">
        <v>5000</v>
      </c>
      <c r="F54" s="63">
        <f t="shared" ref="F54:K54" si="19">E54*105%</f>
        <v>5250</v>
      </c>
      <c r="G54" s="63">
        <f t="shared" si="19"/>
        <v>5512.5</v>
      </c>
      <c r="H54" s="63">
        <f t="shared" si="19"/>
        <v>5788.125</v>
      </c>
      <c r="I54" s="63">
        <f t="shared" si="19"/>
        <v>6077.53125</v>
      </c>
      <c r="J54" s="63">
        <f t="shared" si="19"/>
        <v>6381.4078125000005</v>
      </c>
      <c r="K54" s="63">
        <f t="shared" si="19"/>
        <v>6700.4782031250006</v>
      </c>
      <c r="L54" s="54"/>
      <c r="M54" s="54"/>
    </row>
    <row r="55" spans="1:14" ht="20.100000000000001" customHeight="1" x14ac:dyDescent="0.25">
      <c r="A55" s="81"/>
      <c r="B55" s="58" t="s">
        <v>139</v>
      </c>
      <c r="C55" s="58" t="s">
        <v>135</v>
      </c>
      <c r="D55" s="69">
        <f>D53*D54</f>
        <v>0</v>
      </c>
      <c r="E55" s="69">
        <f>E53*E54</f>
        <v>6000000</v>
      </c>
      <c r="F55" s="69">
        <f t="shared" ref="F55:K55" si="20">F53*F54</f>
        <v>12852000</v>
      </c>
      <c r="G55" s="69">
        <f t="shared" si="20"/>
        <v>14023800</v>
      </c>
      <c r="H55" s="69">
        <f t="shared" si="20"/>
        <v>15002820</v>
      </c>
      <c r="I55" s="69">
        <f t="shared" si="20"/>
        <v>16044682.5</v>
      </c>
      <c r="J55" s="69">
        <f t="shared" si="20"/>
        <v>17153224.200000003</v>
      </c>
      <c r="K55" s="69">
        <f t="shared" si="20"/>
        <v>18332508.36375</v>
      </c>
      <c r="L55" s="54"/>
      <c r="M55" s="54"/>
    </row>
    <row r="56" spans="1:14" ht="20.100000000000001" customHeight="1" x14ac:dyDescent="0.25">
      <c r="A56" s="81"/>
      <c r="B56" s="29"/>
      <c r="C56" s="29"/>
      <c r="D56" s="29"/>
      <c r="E56" s="29"/>
      <c r="F56" s="70"/>
      <c r="G56" s="29"/>
      <c r="H56" s="29"/>
      <c r="I56" s="29"/>
      <c r="J56" s="29"/>
      <c r="K56" s="29"/>
      <c r="L56" s="54"/>
      <c r="M56" s="54"/>
    </row>
    <row r="57" spans="1:14" ht="20.100000000000001" customHeight="1" x14ac:dyDescent="0.25">
      <c r="A57" s="78">
        <f>A52+1</f>
        <v>4</v>
      </c>
      <c r="B57" s="71" t="s">
        <v>140</v>
      </c>
      <c r="C57" s="29"/>
      <c r="D57" s="29"/>
      <c r="E57" s="29"/>
      <c r="F57" s="29"/>
      <c r="G57" s="29"/>
      <c r="H57" s="29"/>
      <c r="I57" s="29"/>
      <c r="J57" s="29"/>
      <c r="K57" s="29"/>
      <c r="L57" s="54"/>
      <c r="M57" s="54"/>
    </row>
    <row r="58" spans="1:14" ht="20.100000000000001" customHeight="1" x14ac:dyDescent="0.25">
      <c r="A58" s="54"/>
      <c r="B58" s="29" t="s">
        <v>137</v>
      </c>
      <c r="C58" s="29" t="s">
        <v>125</v>
      </c>
      <c r="D58" s="72">
        <f>D53</f>
        <v>0</v>
      </c>
      <c r="E58" s="72">
        <f>E53</f>
        <v>1200</v>
      </c>
      <c r="F58" s="72">
        <f t="shared" ref="F58:K58" si="21">F53</f>
        <v>2448</v>
      </c>
      <c r="G58" s="72">
        <f t="shared" si="21"/>
        <v>2544</v>
      </c>
      <c r="H58" s="72">
        <f t="shared" si="21"/>
        <v>2592</v>
      </c>
      <c r="I58" s="72">
        <f t="shared" si="21"/>
        <v>2640</v>
      </c>
      <c r="J58" s="72">
        <f t="shared" si="21"/>
        <v>2688.0000000000005</v>
      </c>
      <c r="K58" s="72">
        <f t="shared" si="21"/>
        <v>2735.9999999999995</v>
      </c>
      <c r="L58" s="54"/>
      <c r="M58" s="54"/>
    </row>
    <row r="59" spans="1:14" ht="20.100000000000001" customHeight="1" x14ac:dyDescent="0.25">
      <c r="A59" s="54"/>
      <c r="B59" s="29" t="s">
        <v>141</v>
      </c>
      <c r="C59" s="29" t="s">
        <v>134</v>
      </c>
      <c r="D59" s="63">
        <v>10000</v>
      </c>
      <c r="E59" s="63">
        <v>10000</v>
      </c>
      <c r="F59" s="63">
        <f t="shared" ref="F59:K59" si="22">E59*105%</f>
        <v>10500</v>
      </c>
      <c r="G59" s="63">
        <f t="shared" si="22"/>
        <v>11025</v>
      </c>
      <c r="H59" s="63">
        <f t="shared" si="22"/>
        <v>11576.25</v>
      </c>
      <c r="I59" s="63">
        <f t="shared" si="22"/>
        <v>12155.0625</v>
      </c>
      <c r="J59" s="63">
        <f t="shared" si="22"/>
        <v>12762.815625000001</v>
      </c>
      <c r="K59" s="63">
        <f t="shared" si="22"/>
        <v>13400.956406250001</v>
      </c>
      <c r="L59" s="54"/>
      <c r="M59" s="54"/>
    </row>
    <row r="60" spans="1:14" ht="20.100000000000001" customHeight="1" x14ac:dyDescent="0.25">
      <c r="A60" s="54"/>
      <c r="B60" s="73" t="s">
        <v>142</v>
      </c>
      <c r="C60" s="58" t="s">
        <v>135</v>
      </c>
      <c r="D60" s="69">
        <f t="shared" ref="D60:K60" si="23">D58*D59</f>
        <v>0</v>
      </c>
      <c r="E60" s="69">
        <f t="shared" si="23"/>
        <v>12000000</v>
      </c>
      <c r="F60" s="69">
        <f t="shared" si="23"/>
        <v>25704000</v>
      </c>
      <c r="G60" s="69">
        <f t="shared" si="23"/>
        <v>28047600</v>
      </c>
      <c r="H60" s="69">
        <f t="shared" si="23"/>
        <v>30005640</v>
      </c>
      <c r="I60" s="69">
        <f t="shared" si="23"/>
        <v>32089365</v>
      </c>
      <c r="J60" s="69">
        <f t="shared" si="23"/>
        <v>34306448.400000006</v>
      </c>
      <c r="K60" s="69">
        <f t="shared" si="23"/>
        <v>36665016.727499999</v>
      </c>
      <c r="L60" s="54"/>
      <c r="M60" s="54"/>
    </row>
    <row r="61" spans="1:14" ht="20.100000000000001" customHeight="1" x14ac:dyDescent="0.25">
      <c r="A61" s="83"/>
      <c r="B61" s="74"/>
      <c r="C61" s="74"/>
      <c r="D61" s="74"/>
      <c r="E61" s="74"/>
      <c r="F61" s="29"/>
      <c r="G61" s="74"/>
      <c r="H61" s="74"/>
      <c r="I61" s="74"/>
      <c r="J61" s="74"/>
      <c r="K61" s="74"/>
      <c r="L61" s="83"/>
      <c r="M61" s="83"/>
      <c r="N61" s="83"/>
    </row>
    <row r="62" spans="1:14" ht="20.100000000000001" customHeight="1" x14ac:dyDescent="0.25">
      <c r="A62" s="83"/>
      <c r="B62" s="74"/>
      <c r="C62" s="74"/>
      <c r="D62" s="74"/>
      <c r="E62" s="74"/>
      <c r="F62" s="29"/>
      <c r="G62" s="74"/>
      <c r="H62" s="74"/>
      <c r="I62" s="74"/>
      <c r="J62" s="74"/>
      <c r="K62" s="74"/>
      <c r="L62" s="83"/>
      <c r="M62" s="83"/>
      <c r="N62" s="83"/>
    </row>
    <row r="63" spans="1:14" ht="20.100000000000001" customHeight="1" x14ac:dyDescent="0.25">
      <c r="A63" s="83"/>
      <c r="B63" s="29" t="s">
        <v>174</v>
      </c>
      <c r="C63" s="29" t="s">
        <v>155</v>
      </c>
      <c r="D63" s="72">
        <f>D14*73%</f>
        <v>0</v>
      </c>
      <c r="E63" s="72">
        <f t="shared" ref="E63:K63" si="24">E14*50%</f>
        <v>600000</v>
      </c>
      <c r="F63" s="72">
        <f t="shared" si="24"/>
        <v>1224000</v>
      </c>
      <c r="G63" s="72">
        <f t="shared" si="24"/>
        <v>1272000</v>
      </c>
      <c r="H63" s="72">
        <f t="shared" si="24"/>
        <v>1296000</v>
      </c>
      <c r="I63" s="72">
        <f t="shared" si="24"/>
        <v>1320000</v>
      </c>
      <c r="J63" s="72">
        <f t="shared" si="24"/>
        <v>1344000.0000000002</v>
      </c>
      <c r="K63" s="72">
        <f t="shared" si="24"/>
        <v>1367999.9999999998</v>
      </c>
      <c r="L63" s="83"/>
      <c r="M63" s="83"/>
      <c r="N63" s="83"/>
    </row>
    <row r="64" spans="1:14" ht="20.100000000000001" customHeight="1" x14ac:dyDescent="0.25">
      <c r="A64" s="54"/>
      <c r="B64" s="29"/>
      <c r="C64" s="29" t="s">
        <v>170</v>
      </c>
      <c r="D64" s="61">
        <v>15</v>
      </c>
      <c r="E64" s="29">
        <v>15</v>
      </c>
      <c r="F64" s="29">
        <f t="shared" ref="F64:K64" si="25">E64</f>
        <v>15</v>
      </c>
      <c r="G64" s="29">
        <f t="shared" si="25"/>
        <v>15</v>
      </c>
      <c r="H64" s="29">
        <f t="shared" si="25"/>
        <v>15</v>
      </c>
      <c r="I64" s="29">
        <f t="shared" si="25"/>
        <v>15</v>
      </c>
      <c r="J64" s="29">
        <f t="shared" si="25"/>
        <v>15</v>
      </c>
      <c r="K64" s="29">
        <f t="shared" si="25"/>
        <v>15</v>
      </c>
      <c r="L64" s="54"/>
      <c r="M64" s="54"/>
    </row>
    <row r="65" spans="1:13" ht="20.100000000000001" customHeight="1" x14ac:dyDescent="0.25">
      <c r="A65" s="54"/>
      <c r="B65" s="29"/>
      <c r="C65" s="29"/>
      <c r="D65" s="29"/>
      <c r="E65" s="29"/>
      <c r="F65" s="29"/>
      <c r="G65" s="29"/>
      <c r="H65" s="29"/>
      <c r="I65" s="29"/>
      <c r="J65" s="29"/>
      <c r="K65" s="29"/>
      <c r="L65" s="54"/>
      <c r="M65" s="54"/>
    </row>
    <row r="66" spans="1:13" ht="20.100000000000001" customHeight="1" x14ac:dyDescent="0.25">
      <c r="A66" s="54"/>
      <c r="B66" s="29" t="s">
        <v>175</v>
      </c>
      <c r="C66" s="29" t="s">
        <v>155</v>
      </c>
      <c r="D66" s="72">
        <v>0</v>
      </c>
      <c r="E66" s="72">
        <v>0</v>
      </c>
      <c r="F66" s="72">
        <f t="shared" ref="F66:K67" si="26">E69</f>
        <v>120000</v>
      </c>
      <c r="G66" s="72">
        <f t="shared" si="26"/>
        <v>244800</v>
      </c>
      <c r="H66" s="72">
        <f t="shared" si="26"/>
        <v>254400</v>
      </c>
      <c r="I66" s="72">
        <f t="shared" si="26"/>
        <v>259200</v>
      </c>
      <c r="J66" s="72">
        <f t="shared" si="26"/>
        <v>264000</v>
      </c>
      <c r="K66" s="72">
        <f t="shared" si="26"/>
        <v>268800.00000000006</v>
      </c>
      <c r="L66" s="54"/>
      <c r="M66" s="54"/>
    </row>
    <row r="67" spans="1:13" ht="20.100000000000001" customHeight="1" x14ac:dyDescent="0.25">
      <c r="A67" s="54"/>
      <c r="B67" s="29"/>
      <c r="C67" s="29" t="s">
        <v>170</v>
      </c>
      <c r="D67" s="72">
        <v>0</v>
      </c>
      <c r="E67" s="72">
        <v>0</v>
      </c>
      <c r="F67" s="72">
        <f t="shared" si="26"/>
        <v>1800000</v>
      </c>
      <c r="G67" s="72">
        <f t="shared" si="26"/>
        <v>3672000</v>
      </c>
      <c r="H67" s="72">
        <f t="shared" si="26"/>
        <v>3816000</v>
      </c>
      <c r="I67" s="72">
        <f t="shared" si="26"/>
        <v>3888000</v>
      </c>
      <c r="J67" s="72">
        <f t="shared" si="26"/>
        <v>3960000</v>
      </c>
      <c r="K67" s="72">
        <f t="shared" si="26"/>
        <v>4032000.0000000009</v>
      </c>
      <c r="L67" s="54"/>
      <c r="M67" s="54"/>
    </row>
    <row r="68" spans="1:13" ht="20.100000000000001" customHeight="1" x14ac:dyDescent="0.25">
      <c r="A68" s="54"/>
      <c r="B68" s="29"/>
      <c r="C68" s="29"/>
      <c r="D68" s="29"/>
      <c r="E68" s="29"/>
      <c r="F68" s="29"/>
      <c r="G68" s="29"/>
      <c r="H68" s="29"/>
      <c r="I68" s="29"/>
      <c r="J68" s="29"/>
      <c r="K68" s="29"/>
      <c r="L68" s="54"/>
      <c r="M68" s="54"/>
    </row>
    <row r="69" spans="1:13" ht="20.100000000000001" customHeight="1" x14ac:dyDescent="0.25">
      <c r="A69" s="54"/>
      <c r="B69" s="29" t="s">
        <v>176</v>
      </c>
      <c r="C69" s="29" t="s">
        <v>155</v>
      </c>
      <c r="D69" s="72">
        <v>0</v>
      </c>
      <c r="E69" s="72">
        <f>E63*20%</f>
        <v>120000</v>
      </c>
      <c r="F69" s="72">
        <f t="shared" ref="F69:K69" si="27">F63*20%</f>
        <v>244800</v>
      </c>
      <c r="G69" s="72">
        <f t="shared" si="27"/>
        <v>254400</v>
      </c>
      <c r="H69" s="72">
        <f t="shared" si="27"/>
        <v>259200</v>
      </c>
      <c r="I69" s="72">
        <f t="shared" si="27"/>
        <v>264000</v>
      </c>
      <c r="J69" s="72">
        <f t="shared" si="27"/>
        <v>268800.00000000006</v>
      </c>
      <c r="K69" s="72">
        <f t="shared" si="27"/>
        <v>273599.99999999994</v>
      </c>
      <c r="L69" s="54"/>
      <c r="M69" s="54"/>
    </row>
    <row r="70" spans="1:13" ht="20.100000000000001" customHeight="1" x14ac:dyDescent="0.25">
      <c r="A70" s="54"/>
      <c r="B70" s="29"/>
      <c r="C70" s="29" t="s">
        <v>170</v>
      </c>
      <c r="D70" s="72">
        <f>D69*D64</f>
        <v>0</v>
      </c>
      <c r="E70" s="72">
        <f>E69*E64</f>
        <v>1800000</v>
      </c>
      <c r="F70" s="72">
        <f t="shared" ref="F70:K70" si="28">F69*F64</f>
        <v>3672000</v>
      </c>
      <c r="G70" s="72">
        <f t="shared" si="28"/>
        <v>3816000</v>
      </c>
      <c r="H70" s="72">
        <f t="shared" si="28"/>
        <v>3888000</v>
      </c>
      <c r="I70" s="72">
        <f t="shared" si="28"/>
        <v>3960000</v>
      </c>
      <c r="J70" s="72">
        <f t="shared" si="28"/>
        <v>4032000.0000000009</v>
      </c>
      <c r="K70" s="72">
        <f t="shared" si="28"/>
        <v>4103999.9999999991</v>
      </c>
      <c r="L70" s="54"/>
      <c r="M70" s="54"/>
    </row>
    <row r="71" spans="1:13" ht="20.100000000000001" customHeight="1" x14ac:dyDescent="0.25">
      <c r="A71" s="54"/>
      <c r="B71" s="29"/>
      <c r="C71" s="29"/>
      <c r="D71" s="29"/>
      <c r="E71" s="29"/>
      <c r="F71" s="29"/>
      <c r="G71" s="29"/>
      <c r="H71" s="29"/>
      <c r="I71" s="29"/>
      <c r="J71" s="29"/>
      <c r="K71" s="29"/>
      <c r="L71" s="54"/>
      <c r="M71" s="54"/>
    </row>
    <row r="72" spans="1:13" ht="20.100000000000001" customHeight="1" x14ac:dyDescent="0.25">
      <c r="A72" s="54"/>
      <c r="B72" s="29" t="s">
        <v>171</v>
      </c>
      <c r="C72" s="29" t="s">
        <v>154</v>
      </c>
      <c r="D72" s="63">
        <f>D63+D66-D69</f>
        <v>0</v>
      </c>
      <c r="E72" s="62">
        <f>E63+E66-E69</f>
        <v>480000</v>
      </c>
      <c r="F72" s="63">
        <f t="shared" ref="F72:K72" si="29">F63+F66-F69</f>
        <v>1099200</v>
      </c>
      <c r="G72" s="63">
        <f t="shared" si="29"/>
        <v>1262400</v>
      </c>
      <c r="H72" s="63">
        <f t="shared" si="29"/>
        <v>1291200</v>
      </c>
      <c r="I72" s="63">
        <f t="shared" si="29"/>
        <v>1315200</v>
      </c>
      <c r="J72" s="63">
        <f t="shared" si="29"/>
        <v>1339200.0000000002</v>
      </c>
      <c r="K72" s="63">
        <f t="shared" si="29"/>
        <v>1363199.9999999998</v>
      </c>
      <c r="L72" s="54"/>
      <c r="M72" s="54"/>
    </row>
    <row r="73" spans="1:13" ht="20.100000000000001" customHeight="1" x14ac:dyDescent="0.25">
      <c r="A73" s="54"/>
      <c r="B73" s="29"/>
      <c r="C73" s="29" t="s">
        <v>172</v>
      </c>
      <c r="D73" s="63">
        <f>D72*D64</f>
        <v>0</v>
      </c>
      <c r="E73" s="62">
        <f>E72*E64</f>
        <v>7200000</v>
      </c>
      <c r="F73" s="63">
        <f t="shared" ref="F73:K73" si="30">F72*F64</f>
        <v>16488000</v>
      </c>
      <c r="G73" s="63">
        <f t="shared" si="30"/>
        <v>18936000</v>
      </c>
      <c r="H73" s="63">
        <f t="shared" si="30"/>
        <v>19368000</v>
      </c>
      <c r="I73" s="63">
        <f t="shared" si="30"/>
        <v>19728000</v>
      </c>
      <c r="J73" s="63">
        <f t="shared" si="30"/>
        <v>20088000.000000004</v>
      </c>
      <c r="K73" s="63">
        <f t="shared" si="30"/>
        <v>20447999.999999996</v>
      </c>
      <c r="L73" s="54"/>
      <c r="M73" s="54"/>
    </row>
    <row r="74" spans="1:13" ht="20.100000000000001" customHeight="1" x14ac:dyDescent="0.25">
      <c r="A74" s="54"/>
      <c r="B74" s="29"/>
      <c r="C74" s="29" t="s">
        <v>173</v>
      </c>
      <c r="D74" s="63">
        <f>D73/100000</f>
        <v>0</v>
      </c>
      <c r="E74" s="63">
        <f t="shared" ref="E74:K74" si="31">E73/100000</f>
        <v>72</v>
      </c>
      <c r="F74" s="63">
        <f t="shared" si="31"/>
        <v>164.88</v>
      </c>
      <c r="G74" s="63">
        <f t="shared" si="31"/>
        <v>189.36</v>
      </c>
      <c r="H74" s="63">
        <f t="shared" si="31"/>
        <v>193.68</v>
      </c>
      <c r="I74" s="63">
        <f t="shared" si="31"/>
        <v>197.28</v>
      </c>
      <c r="J74" s="63">
        <f t="shared" si="31"/>
        <v>200.88000000000002</v>
      </c>
      <c r="K74" s="63">
        <f t="shared" si="31"/>
        <v>204.47999999999996</v>
      </c>
      <c r="L74" s="54"/>
      <c r="M74" s="54"/>
    </row>
    <row r="75" spans="1:13" ht="20.100000000000001" customHeight="1" x14ac:dyDescent="0.25">
      <c r="A75" s="54"/>
      <c r="B75" s="29"/>
      <c r="C75" s="29"/>
      <c r="D75" s="29"/>
      <c r="E75" s="29"/>
      <c r="F75" s="29"/>
      <c r="G75" s="29"/>
      <c r="H75" s="29"/>
      <c r="I75" s="29"/>
      <c r="J75" s="29"/>
      <c r="K75" s="29"/>
      <c r="L75" s="54"/>
      <c r="M75" s="54"/>
    </row>
    <row r="76" spans="1:13" ht="20.100000000000001" customHeight="1" x14ac:dyDescent="0.25">
      <c r="A76" s="54"/>
      <c r="B76" s="29"/>
      <c r="C76" s="29"/>
      <c r="D76" s="29"/>
      <c r="E76" s="29"/>
      <c r="F76" s="29"/>
      <c r="G76" s="29"/>
      <c r="H76" s="29"/>
      <c r="I76" s="29"/>
      <c r="J76" s="29"/>
      <c r="K76" s="29"/>
      <c r="L76" s="54"/>
      <c r="M76" s="54"/>
    </row>
    <row r="77" spans="1:13" ht="20.100000000000001" customHeight="1" x14ac:dyDescent="0.25">
      <c r="A77" s="54"/>
      <c r="B77" s="29"/>
      <c r="C77" s="29"/>
      <c r="D77" s="29"/>
      <c r="E77" s="29"/>
      <c r="F77" s="29"/>
      <c r="G77" s="29"/>
      <c r="H77" s="29"/>
      <c r="I77" s="29"/>
      <c r="J77" s="29"/>
      <c r="K77" s="29"/>
      <c r="L77" s="54"/>
      <c r="M77" s="54"/>
    </row>
    <row r="78" spans="1:13" ht="20.100000000000001" customHeight="1" x14ac:dyDescent="0.25">
      <c r="A78" s="54"/>
      <c r="B78" s="29" t="s">
        <v>177</v>
      </c>
      <c r="C78" s="29"/>
      <c r="D78" s="75">
        <f>(D47+D73)/100000</f>
        <v>0</v>
      </c>
      <c r="E78" s="300">
        <f>(E47+E73)/100000</f>
        <v>1207.44</v>
      </c>
      <c r="F78" s="75">
        <f t="shared" ref="F78:K78" si="32">(F47+F73)/100000</f>
        <v>2637.45</v>
      </c>
      <c r="G78" s="75">
        <f t="shared" si="32"/>
        <v>2935.71</v>
      </c>
      <c r="H78" s="75">
        <f t="shared" si="32"/>
        <v>3127.1400000000008</v>
      </c>
      <c r="I78" s="75">
        <f t="shared" si="32"/>
        <v>3321.4500000000007</v>
      </c>
      <c r="J78" s="75">
        <f t="shared" si="32"/>
        <v>3519.3600000000006</v>
      </c>
      <c r="K78" s="75">
        <f t="shared" si="32"/>
        <v>3720.8700000000013</v>
      </c>
      <c r="L78" s="54"/>
      <c r="M78" s="54"/>
    </row>
    <row r="79" spans="1:13" ht="20.100000000000001" customHeight="1" x14ac:dyDescent="0.25">
      <c r="A79" s="54"/>
      <c r="B79" s="29"/>
      <c r="C79" s="29"/>
      <c r="D79" s="29"/>
      <c r="E79" s="29"/>
      <c r="F79" s="29"/>
      <c r="G79" s="29"/>
      <c r="H79" s="29"/>
      <c r="I79" s="29"/>
      <c r="J79" s="29"/>
      <c r="K79" s="29"/>
      <c r="L79" s="54"/>
      <c r="M79" s="54"/>
    </row>
    <row r="80" spans="1:13" ht="20.100000000000001" customHeight="1" x14ac:dyDescent="0.25">
      <c r="A80" s="54"/>
      <c r="B80" s="29"/>
      <c r="C80" s="29"/>
      <c r="D80" s="29"/>
      <c r="E80" s="29"/>
      <c r="F80" s="29"/>
      <c r="G80" s="29"/>
      <c r="H80" s="29"/>
      <c r="I80" s="29"/>
      <c r="J80" s="29"/>
      <c r="K80" s="29"/>
      <c r="L80" s="54"/>
      <c r="M80" s="54"/>
    </row>
    <row r="81" spans="1:13" ht="20.100000000000001" customHeight="1" x14ac:dyDescent="0.25">
      <c r="A81" s="54"/>
      <c r="B81" s="29"/>
      <c r="C81" s="29"/>
      <c r="D81" s="29"/>
      <c r="E81" s="29"/>
      <c r="F81" s="29"/>
      <c r="G81" s="29"/>
      <c r="H81" s="29"/>
      <c r="I81" s="29"/>
      <c r="J81" s="29"/>
      <c r="K81" s="29"/>
      <c r="L81" s="54"/>
      <c r="M81" s="54"/>
    </row>
    <row r="82" spans="1:13" ht="20.100000000000001" customHeight="1" x14ac:dyDescent="0.25">
      <c r="A82" s="54"/>
      <c r="B82" s="29"/>
      <c r="C82" s="29"/>
      <c r="D82" s="72">
        <f>D73+D47-D60-D55-D25-D19+D22+D40-D43</f>
        <v>0</v>
      </c>
      <c r="E82" s="72">
        <f>E73+E47-E60-E55-E25-E19+E22+E40-E43</f>
        <v>-2736000</v>
      </c>
      <c r="F82" s="72">
        <f t="shared" ref="F82:K82" si="33">F73+F47-F60-F55-F25-F19+F22+F40-F43</f>
        <v>10977200</v>
      </c>
      <c r="G82" s="72">
        <f t="shared" si="33"/>
        <v>34675830</v>
      </c>
      <c r="H82" s="72">
        <f t="shared" si="33"/>
        <v>41944287.00000006</v>
      </c>
      <c r="I82" s="72">
        <f t="shared" si="33"/>
        <v>48792313.12500006</v>
      </c>
      <c r="J82" s="72">
        <f t="shared" si="33"/>
        <v>58236527.145000003</v>
      </c>
      <c r="K82" s="72">
        <f t="shared" si="33"/>
        <v>70456582.284187615</v>
      </c>
      <c r="L82" s="54"/>
      <c r="M82" s="54"/>
    </row>
    <row r="83" spans="1:13" x14ac:dyDescent="0.25">
      <c r="A83" s="54"/>
      <c r="B83" s="29"/>
      <c r="C83" s="29"/>
      <c r="D83" s="29"/>
      <c r="E83" s="29"/>
      <c r="F83" s="29"/>
      <c r="G83" s="29"/>
      <c r="H83" s="29"/>
      <c r="I83" s="29"/>
      <c r="J83" s="29"/>
      <c r="K83" s="29"/>
      <c r="L83" s="54"/>
      <c r="M83" s="54"/>
    </row>
    <row r="84" spans="1:13" x14ac:dyDescent="0.25">
      <c r="A84" s="54"/>
      <c r="B84" s="29"/>
      <c r="C84" s="29"/>
      <c r="D84" s="29"/>
      <c r="E84" s="29"/>
      <c r="F84" s="29"/>
      <c r="G84" s="29"/>
      <c r="H84" s="29"/>
      <c r="I84" s="29"/>
      <c r="J84" s="29"/>
      <c r="K84" s="29"/>
      <c r="L84" s="54"/>
      <c r="M84" s="54"/>
    </row>
    <row r="85" spans="1:13" x14ac:dyDescent="0.25">
      <c r="A85" s="54"/>
      <c r="B85" s="29"/>
      <c r="C85" s="29"/>
      <c r="D85" s="29"/>
      <c r="E85" s="29"/>
      <c r="F85" s="29"/>
      <c r="G85" s="29"/>
      <c r="H85" s="29"/>
      <c r="I85" s="29"/>
      <c r="J85" s="29"/>
      <c r="K85" s="29"/>
      <c r="L85" s="54"/>
      <c r="M85" s="54"/>
    </row>
    <row r="86" spans="1:13" x14ac:dyDescent="0.25">
      <c r="A86" s="54"/>
      <c r="B86" s="54"/>
      <c r="C86" s="54"/>
      <c r="D86" s="54"/>
      <c r="E86" s="54"/>
      <c r="F86" s="54"/>
      <c r="G86" s="54"/>
      <c r="H86" s="54"/>
      <c r="I86" s="54"/>
      <c r="J86" s="54"/>
      <c r="K86" s="54"/>
      <c r="L86" s="54"/>
      <c r="M86" s="54"/>
    </row>
    <row r="87" spans="1:13" x14ac:dyDescent="0.25">
      <c r="A87" s="54"/>
      <c r="B87" s="54"/>
      <c r="C87" s="54"/>
      <c r="D87" s="54"/>
      <c r="E87" s="54"/>
      <c r="F87" s="54"/>
      <c r="G87" s="54"/>
      <c r="H87" s="54"/>
      <c r="I87" s="54"/>
      <c r="J87" s="54"/>
      <c r="K87" s="54"/>
      <c r="L87" s="54"/>
      <c r="M87" s="54"/>
    </row>
    <row r="88" spans="1:13" x14ac:dyDescent="0.25">
      <c r="A88" s="54"/>
      <c r="B88" s="54"/>
      <c r="C88" s="54"/>
      <c r="D88" s="54"/>
      <c r="E88" s="54"/>
      <c r="F88" s="54"/>
      <c r="G88" s="54"/>
      <c r="H88" s="54"/>
      <c r="I88" s="54"/>
      <c r="J88" s="54"/>
      <c r="K88" s="54"/>
      <c r="L88" s="54"/>
      <c r="M88" s="54"/>
    </row>
    <row r="89" spans="1:13" x14ac:dyDescent="0.25">
      <c r="A89" s="54"/>
      <c r="B89" s="54"/>
      <c r="C89" s="54"/>
      <c r="D89" s="54"/>
      <c r="E89" s="54"/>
      <c r="F89" s="54"/>
      <c r="G89" s="54"/>
      <c r="H89" s="54"/>
      <c r="I89" s="54"/>
      <c r="J89" s="54"/>
      <c r="K89" s="54"/>
      <c r="L89" s="54"/>
      <c r="M89" s="54"/>
    </row>
    <row r="90" spans="1:13" x14ac:dyDescent="0.25">
      <c r="A90" s="54"/>
      <c r="B90" s="54"/>
      <c r="C90" s="54"/>
      <c r="D90" s="54"/>
      <c r="E90" s="54"/>
      <c r="F90" s="54"/>
      <c r="G90" s="54"/>
      <c r="H90" s="54"/>
      <c r="I90" s="54"/>
      <c r="J90" s="54"/>
      <c r="K90" s="54"/>
      <c r="L90" s="54"/>
      <c r="M90" s="54"/>
    </row>
    <row r="91" spans="1:13" x14ac:dyDescent="0.25">
      <c r="A91" s="54"/>
      <c r="B91" s="54"/>
      <c r="C91" s="54"/>
      <c r="D91" s="54"/>
      <c r="E91" s="54"/>
      <c r="F91" s="54"/>
      <c r="G91" s="54"/>
      <c r="H91" s="54"/>
      <c r="I91" s="54"/>
      <c r="J91" s="54"/>
      <c r="K91" s="54"/>
      <c r="L91" s="54"/>
      <c r="M91" s="54"/>
    </row>
    <row r="92" spans="1:13" x14ac:dyDescent="0.25">
      <c r="A92" s="54"/>
      <c r="B92" s="54"/>
      <c r="C92" s="54"/>
      <c r="D92" s="54"/>
      <c r="E92" s="54"/>
      <c r="F92" s="54"/>
      <c r="G92" s="54"/>
      <c r="H92" s="54"/>
      <c r="I92" s="54"/>
      <c r="J92" s="54"/>
      <c r="K92" s="54"/>
      <c r="L92" s="54"/>
      <c r="M92" s="54"/>
    </row>
  </sheetData>
  <mergeCells count="1">
    <mergeCell ref="A4:B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R37"/>
  <sheetViews>
    <sheetView topLeftCell="A30" workbookViewId="0">
      <selection activeCell="G38" sqref="G38"/>
    </sheetView>
  </sheetViews>
  <sheetFormatPr defaultRowHeight="15" x14ac:dyDescent="0.25"/>
  <cols>
    <col min="7" max="8" width="9.7109375" bestFit="1" customWidth="1"/>
    <col min="16" max="16" width="9.85546875" bestFit="1" customWidth="1"/>
    <col min="18" max="18" width="9.42578125" bestFit="1" customWidth="1"/>
  </cols>
  <sheetData>
    <row r="1" spans="2:18" x14ac:dyDescent="0.25">
      <c r="B1" s="1" t="s">
        <v>232</v>
      </c>
      <c r="N1" t="s">
        <v>330</v>
      </c>
    </row>
    <row r="2" spans="2:18" x14ac:dyDescent="0.25">
      <c r="B2" s="196" t="s">
        <v>231</v>
      </c>
    </row>
    <row r="3" spans="2:18" x14ac:dyDescent="0.25">
      <c r="K3" t="s">
        <v>325</v>
      </c>
    </row>
    <row r="5" spans="2:18" x14ac:dyDescent="0.25">
      <c r="G5" s="217">
        <v>42061</v>
      </c>
      <c r="K5" t="s">
        <v>326</v>
      </c>
      <c r="P5" s="217">
        <v>43921</v>
      </c>
    </row>
    <row r="6" spans="2:18" x14ac:dyDescent="0.25">
      <c r="D6" t="s">
        <v>295</v>
      </c>
      <c r="H6" s="217">
        <v>40543</v>
      </c>
      <c r="R6" t="s">
        <v>327</v>
      </c>
    </row>
    <row r="7" spans="2:18" x14ac:dyDescent="0.25">
      <c r="H7" s="217">
        <v>42117</v>
      </c>
      <c r="R7" s="217">
        <v>40697</v>
      </c>
    </row>
    <row r="8" spans="2:18" x14ac:dyDescent="0.25">
      <c r="J8" t="s">
        <v>299</v>
      </c>
      <c r="R8" t="s">
        <v>328</v>
      </c>
    </row>
    <row r="9" spans="2:18" x14ac:dyDescent="0.25">
      <c r="D9" t="s">
        <v>296</v>
      </c>
      <c r="H9" t="s">
        <v>331</v>
      </c>
      <c r="O9" t="s">
        <v>306</v>
      </c>
    </row>
    <row r="11" spans="2:18" x14ac:dyDescent="0.25">
      <c r="D11" t="s">
        <v>297</v>
      </c>
      <c r="J11" t="s">
        <v>300</v>
      </c>
      <c r="R11" t="s">
        <v>329</v>
      </c>
    </row>
    <row r="12" spans="2:18" x14ac:dyDescent="0.25">
      <c r="O12" t="s">
        <v>307</v>
      </c>
    </row>
    <row r="13" spans="2:18" ht="255" x14ac:dyDescent="0.25">
      <c r="D13" s="208" t="s">
        <v>310</v>
      </c>
      <c r="J13" t="s">
        <v>301</v>
      </c>
    </row>
    <row r="14" spans="2:18" ht="90" x14ac:dyDescent="0.25">
      <c r="C14" s="208" t="s">
        <v>321</v>
      </c>
      <c r="G14" t="s">
        <v>320</v>
      </c>
      <c r="J14" t="s">
        <v>302</v>
      </c>
      <c r="O14" t="s">
        <v>308</v>
      </c>
      <c r="P14" t="s">
        <v>319</v>
      </c>
    </row>
    <row r="16" spans="2:18" ht="60" x14ac:dyDescent="0.25">
      <c r="D16" s="208" t="s">
        <v>312</v>
      </c>
      <c r="F16" t="s">
        <v>315</v>
      </c>
      <c r="G16" t="s">
        <v>316</v>
      </c>
      <c r="J16" t="s">
        <v>303</v>
      </c>
      <c r="M16" t="s">
        <v>305</v>
      </c>
    </row>
    <row r="17" spans="2:15" x14ac:dyDescent="0.25">
      <c r="B17" t="s">
        <v>313</v>
      </c>
      <c r="L17" t="s">
        <v>322</v>
      </c>
    </row>
    <row r="18" spans="2:15" x14ac:dyDescent="0.25">
      <c r="D18" t="s">
        <v>314</v>
      </c>
      <c r="J18" t="s">
        <v>304</v>
      </c>
      <c r="O18" t="s">
        <v>309</v>
      </c>
    </row>
    <row r="19" spans="2:15" ht="60" x14ac:dyDescent="0.25">
      <c r="B19" s="208" t="s">
        <v>312</v>
      </c>
      <c r="F19" t="s">
        <v>317</v>
      </c>
      <c r="H19" t="s">
        <v>318</v>
      </c>
    </row>
    <row r="21" spans="2:15" x14ac:dyDescent="0.25">
      <c r="N21" s="196" t="s">
        <v>323</v>
      </c>
    </row>
    <row r="23" spans="2:15" ht="240" x14ac:dyDescent="0.25">
      <c r="D23" s="208" t="s">
        <v>311</v>
      </c>
    </row>
    <row r="25" spans="2:15" x14ac:dyDescent="0.25">
      <c r="D25" t="s">
        <v>332</v>
      </c>
    </row>
    <row r="31" spans="2:15" x14ac:dyDescent="0.25">
      <c r="G31" s="218">
        <v>104</v>
      </c>
    </row>
    <row r="32" spans="2:15" x14ac:dyDescent="0.25">
      <c r="G32" s="218">
        <v>300</v>
      </c>
    </row>
    <row r="33" spans="7:7" x14ac:dyDescent="0.25">
      <c r="G33" s="218">
        <v>250</v>
      </c>
    </row>
    <row r="34" spans="7:7" x14ac:dyDescent="0.25">
      <c r="G34" s="218">
        <v>45</v>
      </c>
    </row>
    <row r="35" spans="7:7" x14ac:dyDescent="0.25">
      <c r="G35" s="218">
        <v>81</v>
      </c>
    </row>
    <row r="36" spans="7:7" x14ac:dyDescent="0.25">
      <c r="G36" s="218">
        <v>45</v>
      </c>
    </row>
    <row r="37" spans="7:7" x14ac:dyDescent="0.25">
      <c r="G37">
        <f>SUM(G31:G36)</f>
        <v>825</v>
      </c>
    </row>
  </sheetData>
  <hyperlinks>
    <hyperlink ref="B2" r:id="rId1"/>
    <hyperlink ref="N21" r:id="rId2"/>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vt:i4>
      </vt:variant>
    </vt:vector>
  </HeadingPairs>
  <TitlesOfParts>
    <vt:vector size="14" baseType="lpstr">
      <vt:lpstr>PL</vt:lpstr>
      <vt:lpstr>Sheet2</vt:lpstr>
      <vt:lpstr>BS</vt:lpstr>
      <vt:lpstr>cfs</vt:lpstr>
      <vt:lpstr>WC</vt:lpstr>
      <vt:lpstr>Annexure</vt:lpstr>
      <vt:lpstr>TERM LOAN REPAYMENT</vt:lpstr>
      <vt:lpstr>Assumptions</vt:lpstr>
      <vt:lpstr>Sheet1</vt:lpstr>
      <vt:lpstr>COP MF</vt:lpstr>
      <vt:lpstr>Sheet3</vt:lpstr>
      <vt:lpstr>FA</vt:lpstr>
      <vt:lpstr>BS!Print_Area</vt:lpstr>
      <vt:lpstr>PL!Print_Area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2022-01-14T15:46:10Z</dcterms:modified>
</cp:coreProperties>
</file>