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100\Resource Personal\Resource Personal-Tejas Bharadwaj\Tejas Files\Review\Ritesh\PL768-666-849 (Oxirich Sunskriti-II Bhiwadi)\"/>
    </mc:Choice>
  </mc:AlternateContent>
  <bookViews>
    <workbookView xWindow="0" yWindow="0" windowWidth="24000" windowHeight="9135" activeTab="1"/>
  </bookViews>
  <sheets>
    <sheet name="Sheet1" sheetId="1" r:id="rId1"/>
    <sheet name="Non FAR Calculation"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2" l="1"/>
  <c r="I16" i="2"/>
  <c r="D14" i="2"/>
  <c r="D16" i="2" s="1"/>
  <c r="G16" i="2" s="1"/>
  <c r="L14" i="2"/>
  <c r="M13" i="2"/>
  <c r="M12" i="2"/>
  <c r="M14" i="2" s="1"/>
  <c r="AF5" i="2"/>
  <c r="AF6" i="2" s="1"/>
  <c r="AC5" i="2"/>
  <c r="AC6" i="2" s="1"/>
  <c r="Z5" i="2"/>
  <c r="Z6" i="2" s="1"/>
  <c r="W5" i="2"/>
  <c r="W6" i="2" s="1"/>
  <c r="T5" i="2"/>
  <c r="T6" i="2" s="1"/>
  <c r="Q5" i="2"/>
  <c r="Q6" i="2" s="1"/>
  <c r="N5" i="2"/>
  <c r="N6" i="2" s="1"/>
  <c r="K5" i="2"/>
  <c r="K6" i="2" s="1"/>
  <c r="H5" i="2"/>
  <c r="H6" i="2" s="1"/>
  <c r="E5" i="2"/>
  <c r="E6" i="2" s="1"/>
  <c r="E11" i="2" l="1"/>
  <c r="E9" i="2"/>
  <c r="W22" i="1"/>
  <c r="W23" i="1"/>
  <c r="W25" i="1" s="1"/>
  <c r="X25" i="1" s="1"/>
  <c r="Y9" i="1"/>
  <c r="Z9" i="1" s="1"/>
  <c r="Z10" i="1"/>
  <c r="X12" i="1"/>
  <c r="Y12" i="1" s="1"/>
  <c r="H9" i="1"/>
  <c r="H6" i="1"/>
  <c r="G8" i="1"/>
  <c r="G7" i="1"/>
  <c r="H7" i="1" s="1"/>
  <c r="G10" i="1" l="1"/>
  <c r="Z25" i="1"/>
  <c r="Y25" i="1"/>
  <c r="H10" i="1"/>
  <c r="H8" i="1"/>
  <c r="N26" i="1"/>
  <c r="R12" i="1"/>
  <c r="N21" i="1" l="1"/>
  <c r="O20" i="1"/>
  <c r="O19" i="1"/>
  <c r="O21" i="1" l="1"/>
  <c r="N19" i="1"/>
  <c r="P19" i="1" s="1"/>
  <c r="H12" i="1"/>
  <c r="I12" i="1" s="1"/>
  <c r="O31" i="1"/>
  <c r="N31" i="1"/>
</calcChain>
</file>

<file path=xl/sharedStrings.xml><?xml version="1.0" encoding="utf-8"?>
<sst xmlns="http://schemas.openxmlformats.org/spreadsheetml/2006/main" count="135" uniqueCount="87">
  <si>
    <t>Total</t>
  </si>
  <si>
    <t>A</t>
  </si>
  <si>
    <t xml:space="preserve">Comment </t>
  </si>
  <si>
    <t>B</t>
  </si>
  <si>
    <t>C</t>
  </si>
  <si>
    <t>B2</t>
  </si>
  <si>
    <t>C1</t>
  </si>
  <si>
    <t>NA</t>
  </si>
  <si>
    <t>C2</t>
  </si>
  <si>
    <t>E</t>
  </si>
  <si>
    <t>F</t>
  </si>
  <si>
    <t>H</t>
  </si>
  <si>
    <t>K</t>
  </si>
  <si>
    <t>J1</t>
  </si>
  <si>
    <t>J2</t>
  </si>
  <si>
    <t>S+12</t>
  </si>
  <si>
    <t>All structure completed and are in ready to move in condition</t>
  </si>
  <si>
    <t>Construction not started yet</t>
  </si>
  <si>
    <t xml:space="preserve">Construction not yet started </t>
  </si>
  <si>
    <t>Super structure is completed upto 11th floor, 12th floor is in under construction phase.</t>
  </si>
  <si>
    <t>Super structure is completetd and only finishing work is in progress</t>
  </si>
  <si>
    <t>Construction done upto plinth level</t>
  </si>
  <si>
    <t xml:space="preserve">Total No Of 
Floors </t>
  </si>
  <si>
    <t xml:space="preserve">Type of 
Tower </t>
  </si>
  <si>
    <t>Sr. No</t>
  </si>
  <si>
    <t xml:space="preserve">Khasra no </t>
  </si>
  <si>
    <t xml:space="preserve">Owner </t>
  </si>
  <si>
    <t>Mr. Devidayal and Mr. Maman</t>
  </si>
  <si>
    <t>215-218</t>
  </si>
  <si>
    <t>302 &amp; 304</t>
  </si>
  <si>
    <t>M/s. Shilpkar Housing Pvt Ltd</t>
  </si>
  <si>
    <t xml:space="preserve">Area
(In hect) </t>
  </si>
  <si>
    <t xml:space="preserve">Area
(In acre) </t>
  </si>
  <si>
    <t xml:space="preserve">Document </t>
  </si>
  <si>
    <t>Collabration agreement</t>
  </si>
  <si>
    <t>Reference no /
 Date</t>
  </si>
  <si>
    <t>Dated:05/05/13</t>
  </si>
  <si>
    <t>Dated:08/05/13</t>
  </si>
  <si>
    <t xml:space="preserve">Joint development Agreement </t>
  </si>
  <si>
    <t>Dated:19/08/16</t>
  </si>
  <si>
    <t>Mr. Kishan Lal, Mr.Nihal, Mr.Sumer, Mr. Sandeep Kumar, 
Mr. manoj Kumar, Mr. Maman &amp; Mr. Vedpraksh</t>
  </si>
  <si>
    <t>OWNER AS PER COLLABRATION AGREEMENT</t>
  </si>
  <si>
    <t xml:space="preserve">Mr. Kishan Lal, Mr. Nihal, Mr. Sumer, Mr. Sandeep Kumar, 
Mr. Manoj Kumar, Mr. Ramesh Chander, 
Mr. Anil Kumar, Mr. pradeep Kumar, Mrs. Ramrati Devi, 
Mr. Babu Lal, Mr. Billu Ram, Mr. Chote Lal, 
Mr. Sajan Singh, Mrs. Bajanti, Mrs. Kamla, Mr. Lala Ram, 
Mrs. Vidha Devi, Mrs. Ramkaalo, Mrs. Kamlesh &amp; Mrs. Itwari </t>
  </si>
  <si>
    <t>PROGRESS REPORT OF OXIRICH SANSKRUTI-II</t>
  </si>
  <si>
    <t>Area Statement of Oxirich Sanskruti-II</t>
  </si>
  <si>
    <t xml:space="preserve">Total plot area as per revenue </t>
  </si>
  <si>
    <t>Total Plot area as per survey plan</t>
  </si>
  <si>
    <t>Surrender in 60 M and 45 M wide road</t>
  </si>
  <si>
    <t>Surrender in 12m wide nala road</t>
  </si>
  <si>
    <t xml:space="preserve">Remaining plot area </t>
  </si>
  <si>
    <t xml:space="preserve">Surrender area for facilities </t>
  </si>
  <si>
    <t xml:space="preserve">Residential Net Plot area </t>
  </si>
  <si>
    <t xml:space="preserve">Commercial Net Plot area </t>
  </si>
  <si>
    <t xml:space="preserve">Sq mtr </t>
  </si>
  <si>
    <t>1 bigha</t>
  </si>
  <si>
    <t>3025 sq yds</t>
  </si>
  <si>
    <t>Tower Acacia</t>
  </si>
  <si>
    <t>Total FAR</t>
  </si>
  <si>
    <t>Non FAR</t>
  </si>
  <si>
    <t>Total Builtup area</t>
  </si>
  <si>
    <t>Tower Basil</t>
  </si>
  <si>
    <t>Tower Camphor</t>
  </si>
  <si>
    <t>Genistia</t>
  </si>
  <si>
    <t>G+4</t>
  </si>
  <si>
    <t>Jasmine</t>
  </si>
  <si>
    <t xml:space="preserve">Janiper </t>
  </si>
  <si>
    <t>Camphor</t>
  </si>
  <si>
    <t>Tower Genista</t>
  </si>
  <si>
    <t>Tower Henna &amp; Jasmine</t>
  </si>
  <si>
    <t>Tower Juniper</t>
  </si>
  <si>
    <t>Tower Key Floor</t>
  </si>
  <si>
    <t>sq mtr</t>
  </si>
  <si>
    <t>sq ft</t>
  </si>
  <si>
    <t xml:space="preserve">Tower Name </t>
  </si>
  <si>
    <t>Henina</t>
  </si>
  <si>
    <t>Club Area</t>
  </si>
  <si>
    <t>Commercial Complex</t>
  </si>
  <si>
    <t xml:space="preserve">Total Non FAR area of Residential </t>
  </si>
  <si>
    <t xml:space="preserve">sq mtr </t>
  </si>
  <si>
    <t xml:space="preserve">sq ft </t>
  </si>
  <si>
    <t>Total Commercial non FAR</t>
  </si>
  <si>
    <t xml:space="preserve">19430.12 sq mtr / 209145.811 sq ft </t>
  </si>
  <si>
    <t xml:space="preserve">399.62 sq mtr / 4301.51 sq ft </t>
  </si>
  <si>
    <t>Acacia</t>
  </si>
  <si>
    <t>Basil</t>
  </si>
  <si>
    <t>Key Flower</t>
  </si>
  <si>
    <t>Daffodil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</si>
</sst>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25396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Border="1" applyAlignment="1">
      <alignment horizontal="center"/>
    </xf>
    <xf numFmtId="2" fontId="2" fillId="0" borderId="1" xfId="0" applyNumberFormat="1" applyFont="1" applyBorder="1" applyAlignment="1">
      <alignment horizontal="center"/>
    </xf>
    <xf numFmtId="0" fontId="0" fillId="0" borderId="1" xfId="0" applyBorder="1"/>
    <xf numFmtId="0" fontId="2" fillId="0" borderId="1" xfId="0" applyFont="1" applyBorder="1"/>
    <xf numFmtId="0" fontId="2" fillId="0" borderId="0" xfId="0" applyFont="1"/>
    <xf numFmtId="0" fontId="0" fillId="0" borderId="1" xfId="0" applyFont="1" applyBorder="1" applyAlignment="1">
      <alignment horizontal="center" vertical="center"/>
    </xf>
    <xf numFmtId="0" fontId="2" fillId="0"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cellXfs>
  <cellStyles count="1">
    <cellStyle name="Normal" xfId="0" builtinId="0"/>
  </cellStyles>
  <dxfs count="0"/>
  <tableStyles count="0" defaultTableStyle="TableStyleMedium2" defaultPivotStyle="PivotStyleLight16"/>
  <colors>
    <mruColors>
      <color rgb="FF253961"/>
      <color rgb="FF246024"/>
      <color rgb="FF24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Z31"/>
  <sheetViews>
    <sheetView topLeftCell="A13" zoomScaleNormal="100" workbookViewId="0">
      <selection activeCell="E19" sqref="E19:H29"/>
    </sheetView>
  </sheetViews>
  <sheetFormatPr defaultRowHeight="15" x14ac:dyDescent="0.25"/>
  <cols>
    <col min="2" max="2" width="6.28515625" bestFit="1" customWidth="1"/>
    <col min="3" max="3" width="29.140625" hidden="1" customWidth="1"/>
    <col min="4" max="4" width="14.7109375" hidden="1" customWidth="1"/>
    <col min="5" max="5" width="10" customWidth="1"/>
    <col min="6" max="6" width="54.85546875" bestFit="1" customWidth="1"/>
    <col min="7" max="7" width="8.42578125" customWidth="1"/>
    <col min="8" max="8" width="8.28515625" customWidth="1"/>
    <col min="9" max="9" width="9.140625" customWidth="1"/>
    <col min="13" max="13" width="7.5703125" bestFit="1" customWidth="1"/>
    <col min="14" max="14" width="11.42578125" customWidth="1"/>
    <col min="15" max="15" width="39.5703125" customWidth="1"/>
    <col min="19" max="19" width="35.140625" bestFit="1" customWidth="1"/>
    <col min="21" max="21" width="7.140625" bestFit="1" customWidth="1"/>
    <col min="23" max="25" width="11" bestFit="1" customWidth="1"/>
    <col min="26" max="26" width="10" bestFit="1" customWidth="1"/>
  </cols>
  <sheetData>
    <row r="4" spans="2:26" x14ac:dyDescent="0.25">
      <c r="B4" s="19" t="s">
        <v>41</v>
      </c>
      <c r="C4" s="19"/>
      <c r="D4" s="19"/>
      <c r="E4" s="19"/>
      <c r="F4" s="19"/>
      <c r="G4" s="19"/>
      <c r="H4" s="19"/>
    </row>
    <row r="5" spans="2:26" ht="30" x14ac:dyDescent="0.25">
      <c r="B5" s="2" t="s">
        <v>24</v>
      </c>
      <c r="C5" s="2" t="s">
        <v>33</v>
      </c>
      <c r="D5" s="3" t="s">
        <v>35</v>
      </c>
      <c r="E5" s="2" t="s">
        <v>25</v>
      </c>
      <c r="F5" s="3" t="s">
        <v>26</v>
      </c>
      <c r="G5" s="3" t="s">
        <v>31</v>
      </c>
      <c r="H5" s="3" t="s">
        <v>32</v>
      </c>
      <c r="S5" s="8"/>
      <c r="T5" s="8"/>
      <c r="U5" s="9"/>
    </row>
    <row r="6" spans="2:26" x14ac:dyDescent="0.25">
      <c r="B6" s="4">
        <v>1</v>
      </c>
      <c r="C6" s="4" t="s">
        <v>34</v>
      </c>
      <c r="D6" s="4" t="s">
        <v>36</v>
      </c>
      <c r="E6" s="4">
        <v>225</v>
      </c>
      <c r="F6" s="4" t="s">
        <v>27</v>
      </c>
      <c r="G6" s="4">
        <v>0.25</v>
      </c>
      <c r="H6" s="11">
        <f>G6*2.471054</f>
        <v>0.61776350000000002</v>
      </c>
      <c r="S6" s="19" t="s">
        <v>44</v>
      </c>
      <c r="T6" s="19"/>
      <c r="U6" s="19"/>
    </row>
    <row r="7" spans="2:26" ht="33" customHeight="1" x14ac:dyDescent="0.25">
      <c r="B7" s="4">
        <v>2</v>
      </c>
      <c r="C7" s="4" t="s">
        <v>34</v>
      </c>
      <c r="D7" s="4" t="s">
        <v>36</v>
      </c>
      <c r="E7" s="4" t="s">
        <v>28</v>
      </c>
      <c r="F7" s="1" t="s">
        <v>40</v>
      </c>
      <c r="G7" s="4">
        <f>0.86+0.48+0.38+0.35</f>
        <v>2.0699999999999998</v>
      </c>
      <c r="H7" s="11">
        <f t="shared" ref="H7:H9" si="0">G7*2.471054</f>
        <v>5.1150817799999997</v>
      </c>
      <c r="S7" s="14" t="s">
        <v>45</v>
      </c>
      <c r="T7" s="14">
        <v>47500</v>
      </c>
      <c r="U7" s="14" t="s">
        <v>53</v>
      </c>
    </row>
    <row r="8" spans="2:26" ht="25.5" customHeight="1" x14ac:dyDescent="0.25">
      <c r="B8" s="4">
        <v>3</v>
      </c>
      <c r="C8" s="4" t="s">
        <v>34</v>
      </c>
      <c r="D8" s="4" t="s">
        <v>37</v>
      </c>
      <c r="E8" s="4" t="s">
        <v>29</v>
      </c>
      <c r="F8" s="1" t="s">
        <v>42</v>
      </c>
      <c r="G8" s="4">
        <f>0.97+0.25</f>
        <v>1.22</v>
      </c>
      <c r="H8" s="11">
        <f t="shared" si="0"/>
        <v>3.01468588</v>
      </c>
      <c r="S8" s="14" t="s">
        <v>46</v>
      </c>
      <c r="T8" s="14">
        <v>47485.97</v>
      </c>
      <c r="U8" s="14" t="s">
        <v>53</v>
      </c>
    </row>
    <row r="9" spans="2:26" ht="16.5" customHeight="1" x14ac:dyDescent="0.25">
      <c r="B9" s="4">
        <v>4</v>
      </c>
      <c r="C9" s="4" t="s">
        <v>38</v>
      </c>
      <c r="D9" s="4" t="s">
        <v>39</v>
      </c>
      <c r="E9" s="4">
        <v>214</v>
      </c>
      <c r="F9" s="4" t="s">
        <v>30</v>
      </c>
      <c r="G9" s="4">
        <v>1.21</v>
      </c>
      <c r="H9" s="11">
        <f t="shared" si="0"/>
        <v>2.98997534</v>
      </c>
      <c r="S9" s="14" t="s">
        <v>47</v>
      </c>
      <c r="T9" s="14">
        <v>6267.71</v>
      </c>
      <c r="U9" s="14" t="s">
        <v>53</v>
      </c>
      <c r="Y9">
        <f>4840/3025</f>
        <v>1.6</v>
      </c>
      <c r="Z9">
        <f>Y9*16000000</f>
        <v>25600000</v>
      </c>
    </row>
    <row r="10" spans="2:26" x14ac:dyDescent="0.25">
      <c r="B10" s="21" t="s">
        <v>0</v>
      </c>
      <c r="C10" s="21"/>
      <c r="D10" s="21"/>
      <c r="E10" s="21"/>
      <c r="F10" s="21"/>
      <c r="G10" s="12">
        <f>SUM(G6:G9)</f>
        <v>4.75</v>
      </c>
      <c r="H10" s="13">
        <f>SUM(H6:H9)</f>
        <v>11.737506499999999</v>
      </c>
      <c r="S10" s="14" t="s">
        <v>48</v>
      </c>
      <c r="T10" s="14">
        <v>134.37</v>
      </c>
      <c r="U10" s="14" t="s">
        <v>53</v>
      </c>
      <c r="W10" t="s">
        <v>54</v>
      </c>
      <c r="X10" t="s">
        <v>55</v>
      </c>
      <c r="Y10">
        <v>16000000</v>
      </c>
      <c r="Z10">
        <f>Y10/3025</f>
        <v>5289.2561983471078</v>
      </c>
    </row>
    <row r="11" spans="2:26" x14ac:dyDescent="0.25">
      <c r="S11" s="14" t="s">
        <v>49</v>
      </c>
      <c r="T11" s="14">
        <v>41083.89</v>
      </c>
      <c r="U11" s="14" t="s">
        <v>53</v>
      </c>
    </row>
    <row r="12" spans="2:26" x14ac:dyDescent="0.25">
      <c r="H12">
        <f>4800+5500</f>
        <v>10300</v>
      </c>
      <c r="I12">
        <f>H12/2</f>
        <v>5150</v>
      </c>
      <c r="R12">
        <f>1052-82</f>
        <v>970</v>
      </c>
      <c r="S12" s="14" t="s">
        <v>50</v>
      </c>
      <c r="T12" s="14">
        <v>2054.19</v>
      </c>
      <c r="U12" s="14" t="s">
        <v>53</v>
      </c>
      <c r="W12">
        <v>8.7200000000000006</v>
      </c>
      <c r="X12">
        <f>W12*4840</f>
        <v>42204.800000000003</v>
      </c>
      <c r="Y12">
        <f>X12/3025</f>
        <v>13.952000000000002</v>
      </c>
    </row>
    <row r="13" spans="2:26" ht="14.25" customHeight="1" x14ac:dyDescent="0.25">
      <c r="S13" s="14" t="s">
        <v>51</v>
      </c>
      <c r="T13" s="14">
        <v>35290.21</v>
      </c>
      <c r="U13" s="14" t="s">
        <v>53</v>
      </c>
    </row>
    <row r="14" spans="2:26" ht="15" customHeight="1" x14ac:dyDescent="0.25">
      <c r="S14" s="14" t="s">
        <v>52</v>
      </c>
      <c r="T14" s="14">
        <v>3739.49</v>
      </c>
      <c r="U14" s="14" t="s">
        <v>53</v>
      </c>
    </row>
    <row r="15" spans="2:26" x14ac:dyDescent="0.25">
      <c r="M15" s="20"/>
      <c r="N15" s="20"/>
      <c r="O15" s="20"/>
    </row>
    <row r="16" spans="2:26" x14ac:dyDescent="0.25">
      <c r="N16" s="5"/>
      <c r="O16" s="6"/>
    </row>
    <row r="19" spans="13:26" x14ac:dyDescent="0.25">
      <c r="M19" t="s">
        <v>5</v>
      </c>
      <c r="N19" t="e">
        <f>#REF!*3</f>
        <v>#REF!</v>
      </c>
      <c r="O19" t="e">
        <f>#REF!*1</f>
        <v>#REF!</v>
      </c>
      <c r="P19" t="e">
        <f>O19+N19</f>
        <v>#REF!</v>
      </c>
    </row>
    <row r="20" spans="13:26" x14ac:dyDescent="0.25">
      <c r="M20" t="s">
        <v>6</v>
      </c>
      <c r="N20" t="s">
        <v>7</v>
      </c>
      <c r="O20" t="e">
        <f>#REF!</f>
        <v>#REF!</v>
      </c>
    </row>
    <row r="21" spans="13:26" x14ac:dyDescent="0.25">
      <c r="M21" t="s">
        <v>8</v>
      </c>
      <c r="N21" t="e">
        <f>#REF!*3</f>
        <v>#REF!</v>
      </c>
      <c r="O21" t="e">
        <f>#REF!*3</f>
        <v>#REF!</v>
      </c>
    </row>
    <row r="22" spans="13:26" x14ac:dyDescent="0.25">
      <c r="W22">
        <f>1500*645649.1</f>
        <v>968473650</v>
      </c>
    </row>
    <row r="23" spans="13:26" x14ac:dyDescent="0.25">
      <c r="W23">
        <f>8.72*22000000</f>
        <v>191840000</v>
      </c>
    </row>
    <row r="24" spans="13:26" x14ac:dyDescent="0.25">
      <c r="W24">
        <v>70000000</v>
      </c>
    </row>
    <row r="25" spans="13:26" x14ac:dyDescent="0.25">
      <c r="W25">
        <f>SUM(W22:W24)</f>
        <v>1230313650</v>
      </c>
      <c r="X25">
        <f>ROUND(W25,-6)</f>
        <v>1230000000</v>
      </c>
      <c r="Y25">
        <f>X25*0.85</f>
        <v>1045500000</v>
      </c>
      <c r="Z25">
        <f>X25*0.75</f>
        <v>922500000</v>
      </c>
    </row>
    <row r="26" spans="13:26" x14ac:dyDescent="0.25">
      <c r="N26">
        <f>19300000/3200</f>
        <v>6031.25</v>
      </c>
    </row>
    <row r="31" spans="13:26" x14ac:dyDescent="0.25">
      <c r="N31">
        <f>7901000/1285</f>
        <v>6148.6381322957195</v>
      </c>
      <c r="O31">
        <f>9582000/1575</f>
        <v>6083.8095238095239</v>
      </c>
    </row>
  </sheetData>
  <mergeCells count="4">
    <mergeCell ref="S6:U6"/>
    <mergeCell ref="M15:O15"/>
    <mergeCell ref="B4:H4"/>
    <mergeCell ref="B10:F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AF25"/>
  <sheetViews>
    <sheetView tabSelected="1" topLeftCell="N13" workbookViewId="0">
      <selection activeCell="U22" sqref="U22"/>
    </sheetView>
  </sheetViews>
  <sheetFormatPr defaultRowHeight="15" x14ac:dyDescent="0.25"/>
  <cols>
    <col min="4" max="4" width="31.5703125" bestFit="1" customWidth="1"/>
    <col min="5" max="5" width="10" bestFit="1" customWidth="1"/>
    <col min="7" max="7" width="16.7109375" bestFit="1" customWidth="1"/>
    <col min="8" max="8" width="31.5703125" bestFit="1" customWidth="1"/>
    <col min="9" max="9" width="31.28515625" bestFit="1" customWidth="1"/>
    <col min="10" max="10" width="16.7109375" bestFit="1" customWidth="1"/>
    <col min="13" max="13" width="16.7109375" bestFit="1" customWidth="1"/>
    <col min="16" max="16" width="16.7109375" bestFit="1" customWidth="1"/>
    <col min="17" max="17" width="9" bestFit="1" customWidth="1"/>
    <col min="19" max="19" width="40.5703125" customWidth="1"/>
    <col min="20" max="20" width="9" bestFit="1" customWidth="1"/>
    <col min="25" max="25" width="16.7109375" bestFit="1" customWidth="1"/>
    <col min="28" max="28" width="16.7109375" bestFit="1" customWidth="1"/>
    <col min="29" max="29" width="8" bestFit="1" customWidth="1"/>
    <col min="31" max="31" width="16.7109375" bestFit="1" customWidth="1"/>
  </cols>
  <sheetData>
    <row r="3" spans="4:32" x14ac:dyDescent="0.25">
      <c r="D3" s="22" t="s">
        <v>56</v>
      </c>
      <c r="E3" s="23"/>
      <c r="G3" s="22" t="s">
        <v>60</v>
      </c>
      <c r="H3" s="23"/>
      <c r="J3" s="22" t="s">
        <v>61</v>
      </c>
      <c r="K3" s="23"/>
      <c r="M3" s="22" t="s">
        <v>67</v>
      </c>
      <c r="N3" s="23"/>
      <c r="P3" s="22" t="s">
        <v>68</v>
      </c>
      <c r="Q3" s="23"/>
      <c r="S3" s="22" t="s">
        <v>69</v>
      </c>
      <c r="T3" s="23"/>
      <c r="V3" s="22" t="s">
        <v>70</v>
      </c>
      <c r="W3" s="23"/>
      <c r="Y3" s="22" t="s">
        <v>75</v>
      </c>
      <c r="Z3" s="23"/>
      <c r="AB3" s="22" t="s">
        <v>76</v>
      </c>
      <c r="AC3" s="23"/>
      <c r="AE3" s="22" t="s">
        <v>76</v>
      </c>
      <c r="AF3" s="23"/>
    </row>
    <row r="4" spans="4:32" x14ac:dyDescent="0.25">
      <c r="D4" s="14" t="s">
        <v>57</v>
      </c>
      <c r="E4" s="14">
        <v>3378.4</v>
      </c>
      <c r="G4" s="14" t="s">
        <v>57</v>
      </c>
      <c r="H4" s="14">
        <v>3378.4</v>
      </c>
      <c r="J4" s="14" t="s">
        <v>57</v>
      </c>
      <c r="K4" s="14">
        <v>14038.8</v>
      </c>
      <c r="M4" s="14" t="s">
        <v>57</v>
      </c>
      <c r="N4" s="14">
        <v>5332.56</v>
      </c>
      <c r="P4" s="14" t="s">
        <v>57</v>
      </c>
      <c r="Q4" s="14">
        <v>14696.88</v>
      </c>
      <c r="S4" s="14" t="s">
        <v>57</v>
      </c>
      <c r="T4" s="14">
        <v>8981.2800000000007</v>
      </c>
      <c r="V4" s="14" t="s">
        <v>57</v>
      </c>
      <c r="W4" s="14">
        <v>3874.08</v>
      </c>
      <c r="Y4" s="14" t="s">
        <v>57</v>
      </c>
      <c r="Z4" s="14">
        <v>731.24</v>
      </c>
      <c r="AB4" s="14" t="s">
        <v>57</v>
      </c>
      <c r="AC4" s="14">
        <v>300.95</v>
      </c>
      <c r="AE4" s="14" t="s">
        <v>57</v>
      </c>
      <c r="AF4" s="14">
        <v>300.95</v>
      </c>
    </row>
    <row r="5" spans="4:32" x14ac:dyDescent="0.25">
      <c r="D5" s="14" t="s">
        <v>58</v>
      </c>
      <c r="E5" s="14">
        <f>(159.6+20.18)*5</f>
        <v>898.9</v>
      </c>
      <c r="G5" s="14" t="s">
        <v>58</v>
      </c>
      <c r="H5" s="14">
        <f>(159.6+20.18)*5</f>
        <v>898.9</v>
      </c>
      <c r="J5" s="14" t="s">
        <v>58</v>
      </c>
      <c r="K5" s="14">
        <f>(166.54+28.64+136.92)*12</f>
        <v>3985.2000000000003</v>
      </c>
      <c r="M5" s="14" t="s">
        <v>58</v>
      </c>
      <c r="N5" s="14">
        <f>(55.29+76.26+13.16)*12</f>
        <v>1736.52</v>
      </c>
      <c r="P5" s="14" t="s">
        <v>58</v>
      </c>
      <c r="Q5" s="14">
        <f>(258+276.67+23.44)*12</f>
        <v>6697.3200000000015</v>
      </c>
      <c r="S5" s="14" t="s">
        <v>58</v>
      </c>
      <c r="T5" s="14">
        <f>(118.85+172.95+13.44)*12</f>
        <v>3662.8799999999992</v>
      </c>
      <c r="V5" s="14" t="s">
        <v>58</v>
      </c>
      <c r="W5" s="14">
        <f>(57.88+64.6+6.72)*12</f>
        <v>1550.3999999999999</v>
      </c>
      <c r="Y5" s="14" t="s">
        <v>58</v>
      </c>
      <c r="Z5" s="14">
        <f>(114.62+61.71+117.18)</f>
        <v>293.51</v>
      </c>
      <c r="AB5" s="14" t="s">
        <v>58</v>
      </c>
      <c r="AC5" s="14">
        <f>(31.83+74.28)</f>
        <v>106.11</v>
      </c>
      <c r="AE5" s="14" t="s">
        <v>58</v>
      </c>
      <c r="AF5" s="14">
        <f>(31.83+74.28)</f>
        <v>106.11</v>
      </c>
    </row>
    <row r="6" spans="4:32" x14ac:dyDescent="0.25">
      <c r="D6" s="14" t="s">
        <v>59</v>
      </c>
      <c r="E6" s="14">
        <f>SUM(E4:E5)</f>
        <v>4277.3</v>
      </c>
      <c r="G6" s="14" t="s">
        <v>59</v>
      </c>
      <c r="H6" s="14">
        <f>SUM(H4:H5)</f>
        <v>4277.3</v>
      </c>
      <c r="J6" s="14" t="s">
        <v>59</v>
      </c>
      <c r="K6" s="14">
        <f>SUM(K4:K5)</f>
        <v>18024</v>
      </c>
      <c r="M6" s="14" t="s">
        <v>59</v>
      </c>
      <c r="N6" s="14">
        <f>SUM(N4:N5)</f>
        <v>7069.08</v>
      </c>
      <c r="P6" s="14" t="s">
        <v>59</v>
      </c>
      <c r="Q6" s="14">
        <f>SUM(Q4:Q5)</f>
        <v>21394.2</v>
      </c>
      <c r="S6" s="14" t="s">
        <v>59</v>
      </c>
      <c r="T6" s="14">
        <f>SUM(T4:T5)</f>
        <v>12644.16</v>
      </c>
      <c r="V6" s="14" t="s">
        <v>59</v>
      </c>
      <c r="W6" s="14">
        <f>SUM(W4:W5)</f>
        <v>5424.48</v>
      </c>
      <c r="Y6" s="14" t="s">
        <v>59</v>
      </c>
      <c r="Z6" s="14">
        <f>SUM(Z4:Z5)</f>
        <v>1024.75</v>
      </c>
      <c r="AB6" s="14" t="s">
        <v>59</v>
      </c>
      <c r="AC6" s="14">
        <f>SUM(AC4:AC5)</f>
        <v>407.06</v>
      </c>
      <c r="AE6" s="14" t="s">
        <v>59</v>
      </c>
      <c r="AF6" s="14">
        <f>SUM(AF4:AF5)</f>
        <v>407.06</v>
      </c>
    </row>
    <row r="8" spans="4:32" x14ac:dyDescent="0.25">
      <c r="F8" s="15" t="s">
        <v>71</v>
      </c>
    </row>
    <row r="9" spans="4:32" x14ac:dyDescent="0.25">
      <c r="E9" s="15" t="e">
        <f>I12*10.764</f>
        <v>#VALUE!</v>
      </c>
      <c r="F9" s="15" t="s">
        <v>72</v>
      </c>
    </row>
    <row r="10" spans="4:32" x14ac:dyDescent="0.25">
      <c r="F10" s="16" t="s">
        <v>78</v>
      </c>
    </row>
    <row r="11" spans="4:32" x14ac:dyDescent="0.25">
      <c r="E11" s="16" t="e">
        <f>I13*10.764</f>
        <v>#VALUE!</v>
      </c>
      <c r="F11" s="16" t="s">
        <v>79</v>
      </c>
    </row>
    <row r="12" spans="4:32" x14ac:dyDescent="0.25">
      <c r="H12" s="10" t="s">
        <v>77</v>
      </c>
      <c r="I12" s="17" t="s">
        <v>81</v>
      </c>
      <c r="L12">
        <v>19430.12</v>
      </c>
      <c r="M12">
        <f>L12*10.764</f>
        <v>209145.81167999998</v>
      </c>
    </row>
    <row r="13" spans="4:32" x14ac:dyDescent="0.25">
      <c r="H13" s="18" t="s">
        <v>80</v>
      </c>
      <c r="I13" s="17" t="s">
        <v>82</v>
      </c>
      <c r="L13">
        <v>399.62</v>
      </c>
      <c r="M13">
        <f>L13*10.764</f>
        <v>4301.5096800000001</v>
      </c>
    </row>
    <row r="14" spans="4:32" x14ac:dyDescent="0.25">
      <c r="D14">
        <f>1100*213447.32</f>
        <v>234792052</v>
      </c>
      <c r="L14">
        <f>L12+L13</f>
        <v>19829.739999999998</v>
      </c>
      <c r="M14">
        <f>M12+M13</f>
        <v>213447.32135999997</v>
      </c>
    </row>
    <row r="15" spans="4:32" x14ac:dyDescent="0.25">
      <c r="D15">
        <v>968473650</v>
      </c>
      <c r="P15" s="19" t="s">
        <v>43</v>
      </c>
      <c r="Q15" s="19"/>
      <c r="R15" s="19"/>
      <c r="S15" s="19"/>
    </row>
    <row r="16" spans="4:32" ht="45" x14ac:dyDescent="0.25">
      <c r="D16">
        <f>D15+D14</f>
        <v>1203265702</v>
      </c>
      <c r="E16">
        <v>191840000</v>
      </c>
      <c r="F16">
        <v>70000000</v>
      </c>
      <c r="G16">
        <f>F16+E16+D16</f>
        <v>1465105702</v>
      </c>
      <c r="H16">
        <v>1465100000</v>
      </c>
      <c r="I16">
        <f>H16*0.85</f>
        <v>1245335000</v>
      </c>
      <c r="J16">
        <f>H16*0.75</f>
        <v>1098825000</v>
      </c>
      <c r="P16" s="8" t="s">
        <v>73</v>
      </c>
      <c r="Q16" s="8" t="s">
        <v>23</v>
      </c>
      <c r="R16" s="8" t="s">
        <v>22</v>
      </c>
      <c r="S16" s="9" t="s">
        <v>2</v>
      </c>
    </row>
    <row r="17" spans="16:19" ht="30" x14ac:dyDescent="0.25">
      <c r="P17" s="24" t="s">
        <v>83</v>
      </c>
      <c r="Q17" s="4" t="s">
        <v>1</v>
      </c>
      <c r="R17" s="4" t="s">
        <v>63</v>
      </c>
      <c r="S17" s="1" t="s">
        <v>16</v>
      </c>
    </row>
    <row r="18" spans="16:19" ht="30" x14ac:dyDescent="0.25">
      <c r="P18" s="24" t="s">
        <v>84</v>
      </c>
      <c r="Q18" s="4" t="s">
        <v>3</v>
      </c>
      <c r="R18" s="4" t="s">
        <v>63</v>
      </c>
      <c r="S18" s="1" t="s">
        <v>16</v>
      </c>
    </row>
    <row r="19" spans="16:19" x14ac:dyDescent="0.25">
      <c r="P19" s="24" t="s">
        <v>62</v>
      </c>
      <c r="Q19" s="4" t="s">
        <v>10</v>
      </c>
      <c r="R19" s="4" t="s">
        <v>15</v>
      </c>
      <c r="S19" s="1" t="s">
        <v>21</v>
      </c>
    </row>
    <row r="20" spans="16:19" ht="30" x14ac:dyDescent="0.25">
      <c r="P20" s="24" t="s">
        <v>74</v>
      </c>
      <c r="Q20" s="4" t="s">
        <v>11</v>
      </c>
      <c r="R20" s="4" t="s">
        <v>15</v>
      </c>
      <c r="S20" s="1" t="s">
        <v>16</v>
      </c>
    </row>
    <row r="21" spans="16:19" ht="30" x14ac:dyDescent="0.25">
      <c r="P21" s="24" t="s">
        <v>64</v>
      </c>
      <c r="Q21" s="4" t="s">
        <v>13</v>
      </c>
      <c r="R21" s="4" t="s">
        <v>15</v>
      </c>
      <c r="S21" s="1" t="s">
        <v>20</v>
      </c>
    </row>
    <row r="22" spans="16:19" ht="45" x14ac:dyDescent="0.25">
      <c r="P22" s="24" t="s">
        <v>65</v>
      </c>
      <c r="Q22" s="7" t="s">
        <v>14</v>
      </c>
      <c r="R22" s="4" t="s">
        <v>15</v>
      </c>
      <c r="S22" s="1" t="s">
        <v>19</v>
      </c>
    </row>
    <row r="23" spans="16:19" x14ac:dyDescent="0.25">
      <c r="P23" s="24" t="s">
        <v>66</v>
      </c>
      <c r="Q23" s="4" t="s">
        <v>4</v>
      </c>
      <c r="R23" s="4" t="s">
        <v>15</v>
      </c>
      <c r="S23" s="1" t="s">
        <v>18</v>
      </c>
    </row>
    <row r="24" spans="16:19" x14ac:dyDescent="0.25">
      <c r="P24" s="24" t="s">
        <v>85</v>
      </c>
      <c r="Q24" s="4" t="s">
        <v>9</v>
      </c>
      <c r="R24" s="4" t="s">
        <v>15</v>
      </c>
      <c r="S24" s="1" t="s">
        <v>18</v>
      </c>
    </row>
    <row r="25" spans="16:19" x14ac:dyDescent="0.25">
      <c r="P25" s="24" t="s">
        <v>86</v>
      </c>
      <c r="Q25" s="4" t="s">
        <v>12</v>
      </c>
      <c r="R25" s="4" t="s">
        <v>15</v>
      </c>
      <c r="S25" s="1" t="s">
        <v>17</v>
      </c>
    </row>
  </sheetData>
  <mergeCells count="11">
    <mergeCell ref="P15:S15"/>
    <mergeCell ref="V3:W3"/>
    <mergeCell ref="Y3:Z3"/>
    <mergeCell ref="AB3:AC3"/>
    <mergeCell ref="AE3:AF3"/>
    <mergeCell ref="D3:E3"/>
    <mergeCell ref="G3:H3"/>
    <mergeCell ref="J3:K3"/>
    <mergeCell ref="M3:N3"/>
    <mergeCell ref="P3:Q3"/>
    <mergeCell ref="S3:T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Non FAR Calculation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Tejas Bharadwaj</cp:lastModifiedBy>
  <dcterms:created xsi:type="dcterms:W3CDTF">2021-11-30T11:16:04Z</dcterms:created>
  <dcterms:modified xsi:type="dcterms:W3CDTF">2022-01-12T12:02:57Z</dcterms:modified>
</cp:coreProperties>
</file>