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100\Resource Personal\Resource Personal-Tejas Bharadwaj\Tejas Files\Review\Ritesh\VIS(2021-22)-PL793-692-880, Godrej Air\PreparerReport\"/>
    </mc:Choice>
  </mc:AlternateContent>
  <bookViews>
    <workbookView xWindow="0" yWindow="0" windowWidth="24000" windowHeight="9135" activeTab="3"/>
  </bookViews>
  <sheets>
    <sheet name="Sheet1" sheetId="1" r:id="rId1"/>
    <sheet name="Sheet2" sheetId="2" r:id="rId2"/>
    <sheet name="Sheet3" sheetId="3" r:id="rId3"/>
    <sheet name="Inventory " sheetId="4" r:id="rId4"/>
  </sheets>
  <definedNames>
    <definedName name="_xlnm._FilterDatabase" localSheetId="3" hidden="1">'Inventory '!$C$9:$J$23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4" i="4" l="1"/>
  <c r="H23" i="4" l="1"/>
  <c r="H22" i="4"/>
  <c r="H21" i="4"/>
  <c r="H20" i="4"/>
  <c r="H19" i="4"/>
  <c r="H18" i="4"/>
  <c r="H17" i="4"/>
  <c r="H16" i="4"/>
  <c r="H15" i="4"/>
  <c r="H14" i="4"/>
  <c r="H13" i="4"/>
  <c r="H12" i="4"/>
  <c r="H11" i="4"/>
  <c r="L11" i="4" s="1"/>
  <c r="H10" i="4"/>
  <c r="O19" i="4"/>
  <c r="O16" i="4"/>
  <c r="O15" i="4"/>
  <c r="O11" i="4"/>
  <c r="O10" i="4"/>
  <c r="E23" i="4"/>
  <c r="E22" i="4"/>
  <c r="E21" i="4"/>
  <c r="E20" i="4"/>
  <c r="E19" i="4"/>
  <c r="E18" i="4"/>
  <c r="E17" i="4"/>
  <c r="E16" i="4"/>
  <c r="E15" i="4"/>
  <c r="E14" i="4"/>
  <c r="E13" i="4"/>
  <c r="E12" i="4"/>
  <c r="E11" i="4"/>
  <c r="E10" i="4"/>
  <c r="H15" i="1"/>
  <c r="O13" i="1"/>
  <c r="M25" i="3"/>
  <c r="L25" i="3"/>
  <c r="L24" i="3"/>
  <c r="J26" i="3"/>
  <c r="I26" i="3"/>
  <c r="E26" i="3"/>
  <c r="F27" i="3" s="1"/>
  <c r="E25" i="3"/>
  <c r="E24" i="3"/>
  <c r="J19" i="3"/>
  <c r="G14" i="3"/>
  <c r="D18" i="3"/>
  <c r="J17" i="3"/>
  <c r="C18" i="3"/>
  <c r="H19" i="3"/>
  <c r="C12" i="3"/>
  <c r="C15" i="3" s="1"/>
  <c r="E15" i="3" s="1"/>
  <c r="E18" i="3" s="1"/>
  <c r="J10" i="4" l="1"/>
  <c r="J24" i="4" s="1"/>
  <c r="L10" i="4"/>
  <c r="J14" i="4"/>
  <c r="L14" i="4"/>
  <c r="J18" i="4"/>
  <c r="L18" i="4"/>
  <c r="J22" i="4"/>
  <c r="L22" i="4"/>
  <c r="J15" i="4"/>
  <c r="L15" i="4"/>
  <c r="J19" i="4"/>
  <c r="L19" i="4"/>
  <c r="J23" i="4"/>
  <c r="L23" i="4"/>
  <c r="J12" i="4"/>
  <c r="L12" i="4"/>
  <c r="J16" i="4"/>
  <c r="L16" i="4"/>
  <c r="J20" i="4"/>
  <c r="L20" i="4"/>
  <c r="J11" i="4"/>
  <c r="J13" i="4"/>
  <c r="L13" i="4"/>
  <c r="J17" i="4"/>
  <c r="L17" i="4"/>
  <c r="J21" i="4"/>
  <c r="L21" i="4"/>
  <c r="H23" i="2"/>
  <c r="I26" i="2"/>
  <c r="H26" i="2"/>
  <c r="H25" i="2"/>
  <c r="G25" i="2"/>
  <c r="I25" i="2" s="1"/>
  <c r="E25" i="2"/>
  <c r="J19" i="2"/>
  <c r="E18" i="2"/>
  <c r="B18" i="2"/>
  <c r="L24" i="4" l="1"/>
  <c r="J25" i="2"/>
  <c r="E26" i="2"/>
  <c r="B12" i="2"/>
  <c r="W18" i="1" l="1"/>
  <c r="W21" i="1" s="1"/>
  <c r="X21" i="1" s="1"/>
  <c r="W19" i="1"/>
  <c r="Y9" i="1"/>
  <c r="Z9" i="1" s="1"/>
  <c r="Z10" i="1"/>
  <c r="H9" i="1"/>
  <c r="H6" i="1"/>
  <c r="G8" i="1"/>
  <c r="G7" i="1"/>
  <c r="H7" i="1" s="1"/>
  <c r="G10" i="1" l="1"/>
  <c r="Z21" i="1"/>
  <c r="Y21" i="1"/>
  <c r="H8" i="1"/>
  <c r="H10" i="1" s="1"/>
  <c r="N22" i="1"/>
  <c r="N17" i="1" l="1"/>
  <c r="O16" i="1"/>
  <c r="O15" i="1"/>
  <c r="O17" i="1" l="1"/>
  <c r="N15" i="1"/>
  <c r="P15" i="1" s="1"/>
  <c r="O27" i="1"/>
  <c r="N27" i="1"/>
</calcChain>
</file>

<file path=xl/sharedStrings.xml><?xml version="1.0" encoding="utf-8"?>
<sst xmlns="http://schemas.openxmlformats.org/spreadsheetml/2006/main" count="99" uniqueCount="78">
  <si>
    <t>Total</t>
  </si>
  <si>
    <t xml:space="preserve">Comment </t>
  </si>
  <si>
    <t>B2</t>
  </si>
  <si>
    <t>C1</t>
  </si>
  <si>
    <t>NA</t>
  </si>
  <si>
    <t>C2</t>
  </si>
  <si>
    <t>G+24</t>
  </si>
  <si>
    <t xml:space="preserve">Total No Of 
Floors </t>
  </si>
  <si>
    <t xml:space="preserve">Type of 
Tower </t>
  </si>
  <si>
    <t>Sr. No</t>
  </si>
  <si>
    <t xml:space="preserve">Khasra no </t>
  </si>
  <si>
    <t xml:space="preserve">Owner </t>
  </si>
  <si>
    <t>Mr. Devidayal and Mr. Maman</t>
  </si>
  <si>
    <t>215-218</t>
  </si>
  <si>
    <t>302 &amp; 304</t>
  </si>
  <si>
    <t>M/s. Shilpkar Housing Pvt Ltd</t>
  </si>
  <si>
    <t xml:space="preserve">Area
(In hect) </t>
  </si>
  <si>
    <t xml:space="preserve">Area
(In acre) </t>
  </si>
  <si>
    <t xml:space="preserve">Document </t>
  </si>
  <si>
    <t>Collabration agreement</t>
  </si>
  <si>
    <t>Reference no /
 Date</t>
  </si>
  <si>
    <t>Dated:05/05/13</t>
  </si>
  <si>
    <t>Dated:08/05/13</t>
  </si>
  <si>
    <t xml:space="preserve">Joint development Agreement </t>
  </si>
  <si>
    <t>Dated:19/08/16</t>
  </si>
  <si>
    <t>Mr. Kishan Lal, Mr.Nihal, Mr.Sumer, Mr. Sandeep Kumar, 
Mr. manoj Kumar, Mr. Maman &amp; Mr. Vedpraksh</t>
  </si>
  <si>
    <t>OWNER AS PER COLLABRATION AGREEMENT</t>
  </si>
  <si>
    <t xml:space="preserve">Mr. Kishan Lal, Mr. Nihal, Mr. Sumer, Mr. Sandeep Kumar, 
Mr. Manoj Kumar, Mr. Ramesh Chander, 
Mr. Anil Kumar, Mr. pradeep Kumar, Mrs. Ramrati Devi, 
Mr. Babu Lal, Mr. Billu Ram, Mr. Chote Lal, 
Mr. Sajan Singh, Mrs. Bajanti, Mrs. Kamla, Mr. Lala Ram, 
Mrs. Vidha Devi, Mrs. Ramkaalo, Mrs. Kamlesh &amp; Mrs. Itwari </t>
  </si>
  <si>
    <t>Area Statement of Oxirich Sanskruti-II</t>
  </si>
  <si>
    <t xml:space="preserve">Total plot area as per revenue </t>
  </si>
  <si>
    <t>Total Plot area as per survey plan</t>
  </si>
  <si>
    <t>Surrender in 60 M and 45 M wide road</t>
  </si>
  <si>
    <t>Surrender in 12m wide nala road</t>
  </si>
  <si>
    <t xml:space="preserve">Sq mtr </t>
  </si>
  <si>
    <t>1 bigha</t>
  </si>
  <si>
    <t>3025 sq yds</t>
  </si>
  <si>
    <t xml:space="preserve">Tower </t>
  </si>
  <si>
    <t>A1</t>
  </si>
  <si>
    <t>A2</t>
  </si>
  <si>
    <t>A3</t>
  </si>
  <si>
    <t>A4</t>
  </si>
  <si>
    <t>A5</t>
  </si>
  <si>
    <t>EWS</t>
  </si>
  <si>
    <t>CS</t>
  </si>
  <si>
    <t>Basement</t>
  </si>
  <si>
    <t>School</t>
  </si>
  <si>
    <t xml:space="preserve">RERA </t>
  </si>
  <si>
    <t xml:space="preserve">A2, A4 and Community building </t>
  </si>
  <si>
    <t>Phase 1</t>
  </si>
  <si>
    <t>Phase 2</t>
  </si>
  <si>
    <t>A5 &amp; EWS</t>
  </si>
  <si>
    <t>Phase 3</t>
  </si>
  <si>
    <t>A1 &amp; A2</t>
  </si>
  <si>
    <t>Phase 4</t>
  </si>
  <si>
    <t xml:space="preserve">Complex &amp; School </t>
  </si>
  <si>
    <t xml:space="preserve">No of  Units </t>
  </si>
  <si>
    <t xml:space="preserve">Towers Launched as per Rera Certificate of "Godrej Air" </t>
  </si>
  <si>
    <t>Rera No</t>
  </si>
  <si>
    <t>RERA No. RC/REP/HARERA/GGM/2018/32</t>
  </si>
  <si>
    <t>RERA No. RC/REP/HARERA/GGM/2018/33</t>
  </si>
  <si>
    <t>RERA No. RC/REP/HARERA/GGM/2018/34</t>
  </si>
  <si>
    <t>RERA No. RC/REP/HARERA/GGM/2018/35</t>
  </si>
  <si>
    <t>PROGRESS REPORT OF "GODREJ AIR"</t>
  </si>
  <si>
    <t>Construction done upto basement only</t>
  </si>
  <si>
    <t>Super structure completed upto 14 th floor.</t>
  </si>
  <si>
    <t>Super structure completed of all G+19 floors.</t>
  </si>
  <si>
    <t>Construction done upto basement only.</t>
  </si>
  <si>
    <t>Super structure completed upto 17th floors and 
18th floor is under construction.</t>
  </si>
  <si>
    <t>G+29</t>
  </si>
  <si>
    <t>G+32</t>
  </si>
  <si>
    <t>Total No of 
Units</t>
  </si>
  <si>
    <t>Carpet Area
(In sq mtr )</t>
  </si>
  <si>
    <t>Carpet Area
(In sq Ft )</t>
  </si>
  <si>
    <r>
      <t>Super Area
(In Ft</t>
    </r>
    <r>
      <rPr>
        <b/>
        <vertAlign val="superscript"/>
        <sz val="11"/>
        <color theme="0"/>
        <rFont val="Calibri"/>
        <family val="2"/>
        <scheme val="minor"/>
      </rPr>
      <t>2</t>
    </r>
    <r>
      <rPr>
        <b/>
        <sz val="11"/>
        <color theme="0"/>
        <rFont val="Calibri"/>
        <family val="2"/>
        <scheme val="minor"/>
      </rPr>
      <t>)</t>
    </r>
  </si>
  <si>
    <t xml:space="preserve">Rate 
</t>
  </si>
  <si>
    <r>
      <t>Total Super Area
(In ft</t>
    </r>
    <r>
      <rPr>
        <b/>
        <vertAlign val="superscript"/>
        <sz val="11"/>
        <color theme="0"/>
        <rFont val="Calibri"/>
        <family val="2"/>
        <scheme val="minor"/>
      </rPr>
      <t>2</t>
    </r>
    <r>
      <rPr>
        <b/>
        <sz val="11"/>
        <color theme="0"/>
        <rFont val="Calibri"/>
        <family val="2"/>
        <scheme val="minor"/>
      </rPr>
      <t xml:space="preserve">) </t>
    </r>
  </si>
  <si>
    <r>
      <t>Total Cost @ 7000/ft</t>
    </r>
    <r>
      <rPr>
        <b/>
        <vertAlign val="superscript"/>
        <sz val="11"/>
        <color theme="0"/>
        <rFont val="Calibri"/>
        <family val="2"/>
        <scheme val="minor"/>
      </rPr>
      <t>2</t>
    </r>
    <r>
      <rPr>
        <b/>
        <sz val="11"/>
        <color theme="0"/>
        <rFont val="Calibri"/>
        <family val="2"/>
        <scheme val="minor"/>
      </rPr>
      <t xml:space="preserve">
(INR)</t>
    </r>
  </si>
  <si>
    <r>
      <t>Total Cost @ 8000/ft</t>
    </r>
    <r>
      <rPr>
        <b/>
        <vertAlign val="superscript"/>
        <sz val="11"/>
        <color theme="0"/>
        <rFont val="Calibri"/>
        <family val="2"/>
        <scheme val="minor"/>
      </rPr>
      <t>2</t>
    </r>
    <r>
      <rPr>
        <b/>
        <sz val="11"/>
        <color theme="0"/>
        <rFont val="Calibri"/>
        <family val="2"/>
        <scheme val="minor"/>
      </rPr>
      <t xml:space="preserve">
(INR)</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</si>
</sst>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 #,##0.00_ ;_ * \-#,##0.00_ ;_ * &quot;-&quot;??_ ;_ @_ "/>
    <numFmt numFmtId="165" formatCode="0.000"/>
    <numFmt numFmtId="166" formatCode="0.00000"/>
    <numFmt numFmtId="168" formatCode="[$₹-439]#,##0.00"/>
  </numFmts>
  <fonts count="5" x14ac:knownFonts="1">
    <font>
      <sz val="11"/>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
      <b/>
      <vertAlign val="superscript"/>
      <sz val="11"/>
      <color theme="0"/>
      <name val="Calibri"/>
      <family val="2"/>
      <scheme val="minor"/>
    </font>
  </fonts>
  <fills count="6">
    <fill>
      <patternFill patternType="none"/>
    </fill>
    <fill>
      <patternFill patternType="gray125"/>
    </fill>
    <fill>
      <patternFill patternType="solid">
        <fgColor theme="4" tint="-0.249977111117893"/>
        <bgColor indexed="64"/>
      </patternFill>
    </fill>
    <fill>
      <patternFill patternType="solid">
        <fgColor theme="4" tint="0.39997558519241921"/>
        <bgColor indexed="64"/>
      </patternFill>
    </fill>
    <fill>
      <patternFill patternType="solid">
        <fgColor rgb="FF253961"/>
        <bgColor indexed="64"/>
      </patternFill>
    </fill>
    <fill>
      <patternFill patternType="solid">
        <fgColor theme="4" tint="-0.49998474074526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3" fillId="0" borderId="0" applyFont="0" applyFill="0" applyBorder="0" applyAlignment="0" applyProtection="0"/>
  </cellStyleXfs>
  <cellXfs count="36">
    <xf numFmtId="0" fontId="0" fillId="0" borderId="0" xfId="0"/>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2" fontId="0" fillId="0" borderId="1" xfId="0" applyNumberFormat="1" applyBorder="1" applyAlignment="1">
      <alignment horizontal="center" vertical="center"/>
    </xf>
    <xf numFmtId="0" fontId="2" fillId="0" borderId="1" xfId="0" applyFont="1" applyBorder="1" applyAlignment="1">
      <alignment horizontal="center"/>
    </xf>
    <xf numFmtId="2" fontId="2" fillId="0" borderId="1" xfId="0" applyNumberFormat="1" applyFont="1" applyBorder="1" applyAlignment="1">
      <alignment horizontal="center"/>
    </xf>
    <xf numFmtId="0" fontId="0" fillId="0" borderId="1" xfId="0" applyBorder="1"/>
    <xf numFmtId="0" fontId="0" fillId="0" borderId="1" xfId="0" applyBorder="1" applyAlignment="1">
      <alignment horizontal="center"/>
    </xf>
    <xf numFmtId="165" fontId="0" fillId="0" borderId="0" xfId="0" applyNumberFormat="1"/>
    <xf numFmtId="0" fontId="0" fillId="0" borderId="0" xfId="0" applyAlignment="1">
      <alignment horizontal="center" vertical="center"/>
    </xf>
    <xf numFmtId="1" fontId="0" fillId="0" borderId="0" xfId="0" applyNumberFormat="1"/>
    <xf numFmtId="166" fontId="0" fillId="0" borderId="0" xfId="0" applyNumberFormat="1"/>
    <xf numFmtId="164" fontId="0" fillId="0" borderId="0" xfId="1" applyFont="1"/>
    <xf numFmtId="1" fontId="0" fillId="0" borderId="1" xfId="0" applyNumberFormat="1" applyBorder="1" applyAlignment="1">
      <alignment horizontal="center" vertical="center"/>
    </xf>
    <xf numFmtId="0" fontId="1" fillId="4" borderId="1" xfId="0" applyFont="1" applyFill="1" applyBorder="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xf>
    <xf numFmtId="0" fontId="1" fillId="5" borderId="2" xfId="0" applyFont="1" applyFill="1" applyBorder="1" applyAlignment="1">
      <alignment horizontal="center" vertical="center"/>
    </xf>
    <xf numFmtId="0" fontId="0" fillId="0" borderId="1" xfId="0"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4" fontId="0" fillId="0" borderId="1" xfId="0" applyNumberFormat="1" applyBorder="1" applyAlignment="1">
      <alignment horizontal="center" vertical="center"/>
    </xf>
    <xf numFmtId="4" fontId="2" fillId="0" borderId="1" xfId="0" applyNumberFormat="1" applyFont="1" applyBorder="1" applyAlignment="1">
      <alignment vertical="center"/>
    </xf>
    <xf numFmtId="168" fontId="0" fillId="0" borderId="1" xfId="1" applyNumberFormat="1" applyFont="1" applyBorder="1" applyAlignment="1">
      <alignment horizontal="center" vertical="center"/>
    </xf>
    <xf numFmtId="168" fontId="0" fillId="0" borderId="1" xfId="0" applyNumberFormat="1" applyBorder="1" applyAlignment="1">
      <alignment horizontal="center" vertical="center"/>
    </xf>
    <xf numFmtId="168" fontId="2" fillId="0" borderId="1" xfId="0" applyNumberFormat="1" applyFont="1" applyBorder="1" applyAlignment="1">
      <alignment horizontal="center" vertical="center"/>
    </xf>
    <xf numFmtId="168" fontId="0" fillId="0" borderId="1" xfId="0" applyNumberFormat="1" applyBorder="1" applyAlignment="1">
      <alignment horizontal="center"/>
    </xf>
    <xf numFmtId="168" fontId="2" fillId="0" borderId="1" xfId="0" applyNumberFormat="1" applyFont="1" applyBorder="1" applyAlignment="1">
      <alignment horizontal="center"/>
    </xf>
    <xf numFmtId="1" fontId="2" fillId="0" borderId="1" xfId="0" applyNumberFormat="1"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colors>
    <mruColors>
      <color rgb="FF253961"/>
      <color rgb="FF246024"/>
      <color rgb="FF24606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Z27"/>
  <sheetViews>
    <sheetView topLeftCell="M1" zoomScaleNormal="100" workbookViewId="0">
      <selection activeCell="O27" sqref="O27"/>
    </sheetView>
  </sheetViews>
  <sheetFormatPr defaultRowHeight="15" x14ac:dyDescent="0.25"/>
  <cols>
    <col min="2" max="2" width="6.28515625" bestFit="1" customWidth="1"/>
    <col min="3" max="3" width="29.140625" hidden="1" customWidth="1"/>
    <col min="4" max="4" width="14.7109375" hidden="1" customWidth="1"/>
    <col min="5" max="5" width="10" customWidth="1"/>
    <col min="6" max="6" width="54.85546875" bestFit="1" customWidth="1"/>
    <col min="7" max="7" width="8.42578125" customWidth="1"/>
    <col min="8" max="8" width="8.28515625" customWidth="1"/>
    <col min="9" max="9" width="9.140625" customWidth="1"/>
    <col min="13" max="13" width="7.5703125" bestFit="1" customWidth="1"/>
    <col min="14" max="14" width="11.42578125" customWidth="1"/>
    <col min="15" max="15" width="43.85546875" bestFit="1" customWidth="1"/>
    <col min="19" max="19" width="35.140625" bestFit="1" customWidth="1"/>
    <col min="21" max="21" width="7.140625" bestFit="1" customWidth="1"/>
    <col min="23" max="25" width="11" bestFit="1" customWidth="1"/>
    <col min="26" max="26" width="10" bestFit="1" customWidth="1"/>
  </cols>
  <sheetData>
    <row r="4" spans="2:26" x14ac:dyDescent="0.25">
      <c r="B4" s="20" t="s">
        <v>26</v>
      </c>
      <c r="C4" s="20"/>
      <c r="D4" s="20"/>
      <c r="E4" s="20"/>
      <c r="F4" s="20"/>
      <c r="G4" s="20"/>
      <c r="H4" s="20"/>
      <c r="M4" s="20" t="s">
        <v>62</v>
      </c>
      <c r="N4" s="20"/>
      <c r="O4" s="20"/>
    </row>
    <row r="5" spans="2:26" ht="30" x14ac:dyDescent="0.25">
      <c r="B5" s="2" t="s">
        <v>9</v>
      </c>
      <c r="C5" s="2" t="s">
        <v>18</v>
      </c>
      <c r="D5" s="3" t="s">
        <v>20</v>
      </c>
      <c r="E5" s="2" t="s">
        <v>10</v>
      </c>
      <c r="F5" s="3" t="s">
        <v>11</v>
      </c>
      <c r="G5" s="3" t="s">
        <v>16</v>
      </c>
      <c r="H5" s="3" t="s">
        <v>17</v>
      </c>
      <c r="M5" s="7" t="s">
        <v>8</v>
      </c>
      <c r="N5" s="7" t="s">
        <v>7</v>
      </c>
      <c r="O5" s="8" t="s">
        <v>1</v>
      </c>
      <c r="S5" s="7"/>
      <c r="T5" s="7"/>
      <c r="U5" s="8"/>
    </row>
    <row r="6" spans="2:26" x14ac:dyDescent="0.25">
      <c r="B6" s="4">
        <v>1</v>
      </c>
      <c r="C6" s="4" t="s">
        <v>19</v>
      </c>
      <c r="D6" s="4" t="s">
        <v>21</v>
      </c>
      <c r="E6" s="4">
        <v>225</v>
      </c>
      <c r="F6" s="4" t="s">
        <v>12</v>
      </c>
      <c r="G6" s="4">
        <v>0.25</v>
      </c>
      <c r="H6" s="9">
        <f>G6*2.471054</f>
        <v>0.61776350000000002</v>
      </c>
      <c r="M6" s="4" t="s">
        <v>37</v>
      </c>
      <c r="N6" s="4" t="s">
        <v>6</v>
      </c>
      <c r="O6" s="1" t="s">
        <v>63</v>
      </c>
      <c r="S6" s="20" t="s">
        <v>28</v>
      </c>
      <c r="T6" s="20"/>
      <c r="U6" s="20"/>
    </row>
    <row r="7" spans="2:26" ht="15.75" customHeight="1" x14ac:dyDescent="0.25">
      <c r="B7" s="4">
        <v>2</v>
      </c>
      <c r="C7" s="4" t="s">
        <v>19</v>
      </c>
      <c r="D7" s="4" t="s">
        <v>21</v>
      </c>
      <c r="E7" s="4" t="s">
        <v>13</v>
      </c>
      <c r="F7" s="1" t="s">
        <v>25</v>
      </c>
      <c r="G7" s="4">
        <f>0.86+0.48+0.38+0.35</f>
        <v>2.0699999999999998</v>
      </c>
      <c r="H7" s="9">
        <f t="shared" ref="H7:H9" si="0">G7*2.471054</f>
        <v>5.1150817799999997</v>
      </c>
      <c r="M7" s="4" t="s">
        <v>38</v>
      </c>
      <c r="N7" s="4" t="s">
        <v>6</v>
      </c>
      <c r="O7" s="1" t="s">
        <v>64</v>
      </c>
      <c r="S7" s="12" t="s">
        <v>29</v>
      </c>
      <c r="T7" s="12">
        <v>47500</v>
      </c>
      <c r="U7" s="12" t="s">
        <v>33</v>
      </c>
    </row>
    <row r="8" spans="2:26" ht="15.75" customHeight="1" x14ac:dyDescent="0.25">
      <c r="B8" s="4">
        <v>3</v>
      </c>
      <c r="C8" s="4" t="s">
        <v>19</v>
      </c>
      <c r="D8" s="4" t="s">
        <v>22</v>
      </c>
      <c r="E8" s="4" t="s">
        <v>14</v>
      </c>
      <c r="F8" s="1" t="s">
        <v>27</v>
      </c>
      <c r="G8" s="4">
        <f>0.97+0.25</f>
        <v>1.22</v>
      </c>
      <c r="H8" s="9">
        <f t="shared" si="0"/>
        <v>3.01468588</v>
      </c>
      <c r="M8" s="4" t="s">
        <v>39</v>
      </c>
      <c r="N8" s="4" t="s">
        <v>68</v>
      </c>
      <c r="O8" s="1" t="s">
        <v>65</v>
      </c>
      <c r="S8" s="12" t="s">
        <v>30</v>
      </c>
      <c r="T8" s="12">
        <v>47485.97</v>
      </c>
      <c r="U8" s="12" t="s">
        <v>33</v>
      </c>
    </row>
    <row r="9" spans="2:26" x14ac:dyDescent="0.25">
      <c r="B9" s="4">
        <v>4</v>
      </c>
      <c r="C9" s="4" t="s">
        <v>23</v>
      </c>
      <c r="D9" s="4" t="s">
        <v>24</v>
      </c>
      <c r="E9" s="4">
        <v>214</v>
      </c>
      <c r="F9" s="4" t="s">
        <v>15</v>
      </c>
      <c r="G9" s="4">
        <v>1.21</v>
      </c>
      <c r="H9" s="9">
        <f t="shared" si="0"/>
        <v>2.98997534</v>
      </c>
      <c r="M9" s="4" t="s">
        <v>40</v>
      </c>
      <c r="N9" s="4" t="s">
        <v>6</v>
      </c>
      <c r="O9" s="1" t="s">
        <v>66</v>
      </c>
      <c r="S9" s="12" t="s">
        <v>31</v>
      </c>
      <c r="T9" s="12">
        <v>6267.71</v>
      </c>
      <c r="U9" s="12" t="s">
        <v>33</v>
      </c>
      <c r="Y9">
        <f>4840/3025</f>
        <v>1.6</v>
      </c>
      <c r="Z9">
        <f>Y9*16000000</f>
        <v>25600000</v>
      </c>
    </row>
    <row r="10" spans="2:26" ht="30" x14ac:dyDescent="0.25">
      <c r="B10" s="22" t="s">
        <v>0</v>
      </c>
      <c r="C10" s="22"/>
      <c r="D10" s="22"/>
      <c r="E10" s="22"/>
      <c r="F10" s="22"/>
      <c r="G10" s="10">
        <f>SUM(G6:G9)</f>
        <v>4.75</v>
      </c>
      <c r="H10" s="11">
        <f>SUM(H6:H9)</f>
        <v>11.737506499999999</v>
      </c>
      <c r="M10" s="4" t="s">
        <v>41</v>
      </c>
      <c r="N10" s="4" t="s">
        <v>69</v>
      </c>
      <c r="O10" s="1" t="s">
        <v>67</v>
      </c>
      <c r="S10" s="12" t="s">
        <v>32</v>
      </c>
      <c r="T10" s="12">
        <v>134.37</v>
      </c>
      <c r="U10" s="12" t="s">
        <v>33</v>
      </c>
      <c r="W10" t="s">
        <v>34</v>
      </c>
      <c r="X10" t="s">
        <v>35</v>
      </c>
      <c r="Y10">
        <v>16000000</v>
      </c>
      <c r="Z10">
        <f>Y10/3025</f>
        <v>5289.2561983471078</v>
      </c>
    </row>
    <row r="11" spans="2:26" x14ac:dyDescent="0.25">
      <c r="M11" s="21"/>
      <c r="N11" s="21"/>
      <c r="O11" s="21"/>
    </row>
    <row r="12" spans="2:26" x14ac:dyDescent="0.25">
      <c r="N12" s="5"/>
      <c r="O12" s="6"/>
    </row>
    <row r="13" spans="2:26" x14ac:dyDescent="0.25">
      <c r="O13">
        <f>10.043*80000000</f>
        <v>803440000</v>
      </c>
    </row>
    <row r="15" spans="2:26" x14ac:dyDescent="0.25">
      <c r="H15">
        <f>12500000/1370.25</f>
        <v>9122.4229155263638</v>
      </c>
      <c r="M15" t="s">
        <v>2</v>
      </c>
      <c r="N15" t="e">
        <f>#REF!*3</f>
        <v>#REF!</v>
      </c>
      <c r="O15" t="e">
        <f>#REF!*1</f>
        <v>#REF!</v>
      </c>
      <c r="P15" t="e">
        <f>O15+N15</f>
        <v>#REF!</v>
      </c>
    </row>
    <row r="16" spans="2:26" x14ac:dyDescent="0.25">
      <c r="M16" t="s">
        <v>3</v>
      </c>
      <c r="N16" t="s">
        <v>4</v>
      </c>
      <c r="O16" t="e">
        <f>#REF!</f>
        <v>#REF!</v>
      </c>
    </row>
    <row r="17" spans="13:26" x14ac:dyDescent="0.25">
      <c r="M17" t="s">
        <v>5</v>
      </c>
      <c r="N17" t="e">
        <f>#REF!*3</f>
        <v>#REF!</v>
      </c>
      <c r="O17" t="e">
        <f>#REF!*3</f>
        <v>#REF!</v>
      </c>
    </row>
    <row r="18" spans="13:26" x14ac:dyDescent="0.25">
      <c r="W18">
        <f>1500*645649.1</f>
        <v>968473650</v>
      </c>
    </row>
    <row r="19" spans="13:26" x14ac:dyDescent="0.25">
      <c r="W19">
        <f>8.72*22000000</f>
        <v>191840000</v>
      </c>
    </row>
    <row r="20" spans="13:26" x14ac:dyDescent="0.25">
      <c r="W20">
        <v>70000000</v>
      </c>
    </row>
    <row r="21" spans="13:26" x14ac:dyDescent="0.25">
      <c r="W21">
        <f>SUM(W18:W20)</f>
        <v>1230313650</v>
      </c>
      <c r="X21">
        <f>ROUND(W21,-6)</f>
        <v>1230000000</v>
      </c>
      <c r="Y21">
        <f>X21*0.85</f>
        <v>1045500000</v>
      </c>
      <c r="Z21">
        <f>X21*0.75</f>
        <v>922500000</v>
      </c>
    </row>
    <row r="22" spans="13:26" x14ac:dyDescent="0.25">
      <c r="N22">
        <f>19300000/3200</f>
        <v>6031.25</v>
      </c>
    </row>
    <row r="27" spans="13:26" x14ac:dyDescent="0.25">
      <c r="N27">
        <f>7901000/1285</f>
        <v>6148.6381322957195</v>
      </c>
      <c r="O27">
        <f>9582000/1575</f>
        <v>6083.8095238095239</v>
      </c>
    </row>
  </sheetData>
  <mergeCells count="5">
    <mergeCell ref="S6:U6"/>
    <mergeCell ref="M11:O11"/>
    <mergeCell ref="B4:H4"/>
    <mergeCell ref="M4:O4"/>
    <mergeCell ref="B10:F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J26"/>
  <sheetViews>
    <sheetView workbookViewId="0">
      <selection activeCell="F8" sqref="F8"/>
    </sheetView>
  </sheetViews>
  <sheetFormatPr defaultRowHeight="15" x14ac:dyDescent="0.25"/>
  <cols>
    <col min="2" max="2" width="10.5703125" bestFit="1" customWidth="1"/>
    <col min="5" max="5" width="22" bestFit="1" customWidth="1"/>
    <col min="6" max="6" width="37.7109375" bestFit="1" customWidth="1"/>
    <col min="7" max="7" width="29.85546875" bestFit="1" customWidth="1"/>
    <col min="8" max="8" width="11.28515625" customWidth="1"/>
    <col min="9" max="9" width="11" bestFit="1" customWidth="1"/>
  </cols>
  <sheetData>
    <row r="6" spans="2:10" x14ac:dyDescent="0.25">
      <c r="B6">
        <v>10576.13</v>
      </c>
    </row>
    <row r="7" spans="2:10" x14ac:dyDescent="0.25">
      <c r="B7">
        <v>11351.526</v>
      </c>
      <c r="E7" s="23" t="s">
        <v>56</v>
      </c>
      <c r="F7" s="23"/>
      <c r="G7" s="23"/>
      <c r="H7" s="23"/>
    </row>
    <row r="8" spans="2:10" ht="30" x14ac:dyDescent="0.25">
      <c r="B8">
        <v>32549.807000000001</v>
      </c>
      <c r="E8" s="2" t="s">
        <v>46</v>
      </c>
      <c r="F8" s="2" t="s">
        <v>57</v>
      </c>
      <c r="G8" s="3" t="s">
        <v>36</v>
      </c>
      <c r="H8" s="3" t="s">
        <v>55</v>
      </c>
    </row>
    <row r="9" spans="2:10" x14ac:dyDescent="0.25">
      <c r="B9">
        <v>25837.623</v>
      </c>
      <c r="E9" s="13" t="s">
        <v>48</v>
      </c>
      <c r="F9" s="13" t="s">
        <v>58</v>
      </c>
      <c r="G9" s="13" t="s">
        <v>47</v>
      </c>
      <c r="H9" s="13">
        <v>179</v>
      </c>
    </row>
    <row r="10" spans="2:10" x14ac:dyDescent="0.25">
      <c r="B10">
        <v>16957.345000000001</v>
      </c>
      <c r="E10" s="13" t="s">
        <v>49</v>
      </c>
      <c r="F10" s="13" t="s">
        <v>59</v>
      </c>
      <c r="G10" s="13" t="s">
        <v>50</v>
      </c>
      <c r="H10" s="13">
        <v>222</v>
      </c>
    </row>
    <row r="11" spans="2:10" x14ac:dyDescent="0.25">
      <c r="B11">
        <v>2869.415</v>
      </c>
      <c r="E11" s="13" t="s">
        <v>51</v>
      </c>
      <c r="F11" s="13" t="s">
        <v>60</v>
      </c>
      <c r="G11" s="13" t="s">
        <v>52</v>
      </c>
      <c r="H11" s="13">
        <v>200</v>
      </c>
    </row>
    <row r="12" spans="2:10" x14ac:dyDescent="0.25">
      <c r="B12" s="14">
        <f>SUM(B6:B11)</f>
        <v>100141.84600000001</v>
      </c>
      <c r="E12" s="13" t="s">
        <v>53</v>
      </c>
      <c r="F12" s="13" t="s">
        <v>61</v>
      </c>
      <c r="G12" s="13" t="s">
        <v>54</v>
      </c>
      <c r="H12" s="13">
        <v>7</v>
      </c>
    </row>
    <row r="14" spans="2:10" x14ac:dyDescent="0.25">
      <c r="J14">
        <v>1113</v>
      </c>
    </row>
    <row r="15" spans="2:10" x14ac:dyDescent="0.25">
      <c r="B15">
        <v>47352.048999999999</v>
      </c>
      <c r="J15">
        <v>667</v>
      </c>
    </row>
    <row r="16" spans="2:10" x14ac:dyDescent="0.25">
      <c r="B16">
        <v>5180.1469999999999</v>
      </c>
      <c r="E16">
        <v>103691.92</v>
      </c>
      <c r="J16">
        <v>333</v>
      </c>
    </row>
    <row r="17" spans="2:10" x14ac:dyDescent="0.25">
      <c r="B17">
        <v>1258.0239999999999</v>
      </c>
      <c r="E17">
        <v>53790.22</v>
      </c>
      <c r="J17">
        <v>53</v>
      </c>
    </row>
    <row r="18" spans="2:10" x14ac:dyDescent="0.25">
      <c r="B18">
        <f>SUM(B15:B17)</f>
        <v>53790.219999999994</v>
      </c>
      <c r="E18">
        <f>E17+E16</f>
        <v>157482.14000000001</v>
      </c>
      <c r="J18">
        <v>309</v>
      </c>
    </row>
    <row r="19" spans="2:10" x14ac:dyDescent="0.25">
      <c r="J19">
        <f>SUM(J14:J18)</f>
        <v>2475</v>
      </c>
    </row>
    <row r="23" spans="2:10" x14ac:dyDescent="0.25">
      <c r="H23">
        <f>96000000*14.643</f>
        <v>1405728000</v>
      </c>
    </row>
    <row r="25" spans="2:10" x14ac:dyDescent="0.25">
      <c r="E25">
        <f>1116233.8*1600</f>
        <v>1785974080</v>
      </c>
      <c r="G25">
        <f>1600*1116129.45</f>
        <v>1785807120</v>
      </c>
      <c r="H25">
        <f>1300*578993.1</f>
        <v>752691030</v>
      </c>
      <c r="I25">
        <f>H25+G25</f>
        <v>2538498150</v>
      </c>
      <c r="J25">
        <f>I25*0.01</f>
        <v>25384981.5</v>
      </c>
    </row>
    <row r="26" spans="2:10" x14ac:dyDescent="0.25">
      <c r="E26">
        <f>E25+I25+400000000</f>
        <v>4724472230</v>
      </c>
      <c r="G26">
        <v>4724500000</v>
      </c>
      <c r="H26">
        <f>G26*0.85</f>
        <v>4015825000</v>
      </c>
      <c r="I26">
        <f>G26*0.75</f>
        <v>3543375000</v>
      </c>
    </row>
  </sheetData>
  <mergeCells count="1">
    <mergeCell ref="E7:H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M27"/>
  <sheetViews>
    <sheetView workbookViewId="0">
      <selection activeCell="D20" sqref="D20"/>
    </sheetView>
  </sheetViews>
  <sheetFormatPr defaultRowHeight="15" x14ac:dyDescent="0.25"/>
  <cols>
    <col min="5" max="5" width="11.5703125" bestFit="1" customWidth="1"/>
    <col min="6" max="6" width="11" bestFit="1" customWidth="1"/>
    <col min="11" max="11" width="11" bestFit="1" customWidth="1"/>
    <col min="12" max="12" width="13.42578125" bestFit="1" customWidth="1"/>
    <col min="13" max="13" width="11" bestFit="1" customWidth="1"/>
  </cols>
  <sheetData>
    <row r="7" spans="2:8" x14ac:dyDescent="0.25">
      <c r="B7" t="s">
        <v>37</v>
      </c>
      <c r="C7">
        <v>14212.714</v>
      </c>
    </row>
    <row r="8" spans="2:8" x14ac:dyDescent="0.25">
      <c r="B8" t="s">
        <v>38</v>
      </c>
      <c r="C8">
        <v>16249.607</v>
      </c>
    </row>
    <row r="9" spans="2:8" x14ac:dyDescent="0.25">
      <c r="B9" t="s">
        <v>39</v>
      </c>
      <c r="C9">
        <v>8148.0559999999996</v>
      </c>
      <c r="G9">
        <v>806</v>
      </c>
    </row>
    <row r="10" spans="2:8" x14ac:dyDescent="0.25">
      <c r="B10" t="s">
        <v>40</v>
      </c>
      <c r="C10">
        <v>16249.607</v>
      </c>
      <c r="G10">
        <v>767</v>
      </c>
      <c r="H10">
        <v>704.00099999999998</v>
      </c>
    </row>
    <row r="11" spans="2:8" x14ac:dyDescent="0.25">
      <c r="B11" t="s">
        <v>41</v>
      </c>
      <c r="C11">
        <v>15691.851000000001</v>
      </c>
      <c r="G11">
        <v>575</v>
      </c>
      <c r="H11">
        <v>772.94500000000005</v>
      </c>
    </row>
    <row r="12" spans="2:8" x14ac:dyDescent="0.25">
      <c r="C12">
        <f>SUM(C7:C11)</f>
        <v>70551.834999999992</v>
      </c>
      <c r="G12">
        <v>192</v>
      </c>
      <c r="H12">
        <v>500.88600000000002</v>
      </c>
    </row>
    <row r="13" spans="2:8" x14ac:dyDescent="0.25">
      <c r="B13" t="s">
        <v>42</v>
      </c>
      <c r="C13">
        <v>2154.8449999999998</v>
      </c>
      <c r="G13">
        <v>39</v>
      </c>
      <c r="H13">
        <v>772.94500000000005</v>
      </c>
    </row>
    <row r="14" spans="2:8" x14ac:dyDescent="0.25">
      <c r="B14" t="s">
        <v>43</v>
      </c>
      <c r="C14">
        <v>199.81200000000001</v>
      </c>
      <c r="G14">
        <f>SUM(G9:G13)</f>
        <v>2379</v>
      </c>
      <c r="H14">
        <v>618.57000000000005</v>
      </c>
    </row>
    <row r="15" spans="2:8" x14ac:dyDescent="0.25">
      <c r="C15">
        <f>C14+C13+C12</f>
        <v>72906.491999999998</v>
      </c>
      <c r="D15">
        <v>1867.6010000000001</v>
      </c>
      <c r="E15" s="17">
        <f>D15+C15</f>
        <v>74774.092999999993</v>
      </c>
      <c r="H15">
        <v>475.34500000000003</v>
      </c>
    </row>
    <row r="16" spans="2:8" x14ac:dyDescent="0.25">
      <c r="B16" t="s">
        <v>44</v>
      </c>
      <c r="C16">
        <v>31590.856</v>
      </c>
      <c r="H16">
        <v>833.38599999999997</v>
      </c>
    </row>
    <row r="17" spans="2:13" x14ac:dyDescent="0.25">
      <c r="B17" t="s">
        <v>45</v>
      </c>
      <c r="C17">
        <v>864.86199999999997</v>
      </c>
      <c r="D17">
        <v>6447.1930000000002</v>
      </c>
      <c r="H17">
        <v>199.81200000000001</v>
      </c>
      <c r="J17">
        <f>74774.123+32455.72</f>
        <v>107229.84300000001</v>
      </c>
    </row>
    <row r="18" spans="2:13" x14ac:dyDescent="0.25">
      <c r="C18">
        <f>C17+C16</f>
        <v>32455.718000000001</v>
      </c>
      <c r="D18">
        <f>D17+C17+C16</f>
        <v>38902.911</v>
      </c>
      <c r="E18" s="16">
        <f>E15+D18</f>
        <v>113677.00399999999</v>
      </c>
      <c r="H18">
        <v>267.21600000000001</v>
      </c>
    </row>
    <row r="19" spans="2:13" x14ac:dyDescent="0.25">
      <c r="H19">
        <f>SUM(H10:H18)</f>
        <v>5145.1059999999998</v>
      </c>
      <c r="J19">
        <f>300+79+132+90</f>
        <v>601</v>
      </c>
    </row>
    <row r="21" spans="2:13" x14ac:dyDescent="0.25">
      <c r="C21">
        <v>74774.123000000007</v>
      </c>
    </row>
    <row r="24" spans="2:13" x14ac:dyDescent="0.25">
      <c r="E24">
        <f>1600*804861.96</f>
        <v>1287779136</v>
      </c>
      <c r="K24">
        <v>10000000</v>
      </c>
      <c r="L24" s="18">
        <f>K24-9443696</f>
        <v>556304</v>
      </c>
    </row>
    <row r="25" spans="2:13" x14ac:dyDescent="0.25">
      <c r="E25">
        <f>1300*418747.4</f>
        <v>544371620</v>
      </c>
      <c r="F25">
        <v>1207292940</v>
      </c>
      <c r="K25">
        <v>3440000000</v>
      </c>
      <c r="L25">
        <f>K25*0.85</f>
        <v>2924000000</v>
      </c>
      <c r="M25">
        <f>K25*0.75</f>
        <v>2580000000</v>
      </c>
    </row>
    <row r="26" spans="2:13" x14ac:dyDescent="0.25">
      <c r="E26">
        <f>E25+E24</f>
        <v>1832150756</v>
      </c>
      <c r="F26">
        <v>400000000</v>
      </c>
      <c r="I26">
        <f>12500000/1161</f>
        <v>10766.580534022394</v>
      </c>
      <c r="J26">
        <f>13100000/1371</f>
        <v>9555.0692924872365</v>
      </c>
    </row>
    <row r="27" spans="2:13" x14ac:dyDescent="0.25">
      <c r="F27">
        <f>F26+E26+F25</f>
        <v>3439443696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9:O24"/>
  <sheetViews>
    <sheetView tabSelected="1" workbookViewId="0">
      <selection activeCell="C9" sqref="C9:L24"/>
    </sheetView>
  </sheetViews>
  <sheetFormatPr defaultRowHeight="15" x14ac:dyDescent="0.25"/>
  <cols>
    <col min="3" max="3" width="11.5703125" bestFit="1" customWidth="1"/>
    <col min="4" max="4" width="16" hidden="1" customWidth="1"/>
    <col min="5" max="5" width="13.7109375" hidden="1" customWidth="1"/>
    <col min="6" max="6" width="15.28515625" bestFit="1" customWidth="1"/>
    <col min="7" max="7" width="10.7109375" bestFit="1" customWidth="1"/>
    <col min="8" max="8" width="15.85546875" bestFit="1" customWidth="1"/>
    <col min="9" max="9" width="22" hidden="1" customWidth="1"/>
    <col min="10" max="10" width="16.5703125" bestFit="1" customWidth="1"/>
    <col min="11" max="11" width="5" style="15" hidden="1" customWidth="1"/>
    <col min="12" max="12" width="16.5703125" bestFit="1" customWidth="1"/>
  </cols>
  <sheetData>
    <row r="9" spans="3:15" ht="30.75" customHeight="1" x14ac:dyDescent="0.25">
      <c r="C9" s="2" t="s">
        <v>36</v>
      </c>
      <c r="D9" s="3" t="s">
        <v>71</v>
      </c>
      <c r="E9" s="3" t="s">
        <v>72</v>
      </c>
      <c r="F9" s="3" t="s">
        <v>73</v>
      </c>
      <c r="G9" s="3" t="s">
        <v>70</v>
      </c>
      <c r="H9" s="3" t="s">
        <v>75</v>
      </c>
      <c r="I9" s="3" t="s">
        <v>74</v>
      </c>
      <c r="J9" s="3" t="s">
        <v>76</v>
      </c>
      <c r="K9" s="3" t="s">
        <v>74</v>
      </c>
      <c r="L9" s="3" t="s">
        <v>77</v>
      </c>
    </row>
    <row r="10" spans="3:15" x14ac:dyDescent="0.25">
      <c r="C10" s="24" t="s">
        <v>37</v>
      </c>
      <c r="D10" s="4">
        <v>127.87</v>
      </c>
      <c r="E10" s="9">
        <f t="shared" ref="E10:E23" si="0">D10*10.764</f>
        <v>1376.3926799999999</v>
      </c>
      <c r="F10" s="9">
        <v>1855.74</v>
      </c>
      <c r="G10" s="19">
        <v>50</v>
      </c>
      <c r="H10" s="28">
        <f>G10*F10</f>
        <v>92787</v>
      </c>
      <c r="I10" s="28">
        <v>7000</v>
      </c>
      <c r="J10" s="30">
        <f>I10*H10</f>
        <v>649509000</v>
      </c>
      <c r="K10" s="31">
        <v>8000</v>
      </c>
      <c r="L10" s="33">
        <f>K10*H10</f>
        <v>742296000</v>
      </c>
      <c r="O10">
        <f>12500000/1370.25</f>
        <v>9122.4229155263638</v>
      </c>
    </row>
    <row r="11" spans="3:15" x14ac:dyDescent="0.25">
      <c r="C11" s="24"/>
      <c r="D11" s="4">
        <v>129.15</v>
      </c>
      <c r="E11" s="9">
        <f t="shared" si="0"/>
        <v>1390.1705999999999</v>
      </c>
      <c r="F11" s="9">
        <v>1860.88</v>
      </c>
      <c r="G11" s="19">
        <v>2</v>
      </c>
      <c r="H11" s="28">
        <f t="shared" ref="H11:H23" si="1">G11*F11</f>
        <v>3721.76</v>
      </c>
      <c r="I11" s="28">
        <v>7000</v>
      </c>
      <c r="J11" s="30">
        <f t="shared" ref="J11:J23" si="2">I11*H11</f>
        <v>26052320</v>
      </c>
      <c r="K11" s="31">
        <v>8000</v>
      </c>
      <c r="L11" s="33">
        <f t="shared" ref="L11:L23" si="3">K11*H11</f>
        <v>29774080</v>
      </c>
      <c r="O11">
        <f>12800000/1500</f>
        <v>8533.3333333333339</v>
      </c>
    </row>
    <row r="12" spans="3:15" x14ac:dyDescent="0.25">
      <c r="C12" s="24"/>
      <c r="D12" s="4">
        <v>146.94</v>
      </c>
      <c r="E12" s="9">
        <f t="shared" si="0"/>
        <v>1581.6621599999999</v>
      </c>
      <c r="F12" s="9">
        <v>2128.9499999999998</v>
      </c>
      <c r="G12" s="19">
        <v>48</v>
      </c>
      <c r="H12" s="28">
        <f t="shared" si="1"/>
        <v>102189.59999999999</v>
      </c>
      <c r="I12" s="28">
        <v>7000</v>
      </c>
      <c r="J12" s="30">
        <f t="shared" si="2"/>
        <v>715327199.99999988</v>
      </c>
      <c r="K12" s="31">
        <v>8000</v>
      </c>
      <c r="L12" s="33">
        <f t="shared" si="3"/>
        <v>817516799.99999988</v>
      </c>
    </row>
    <row r="13" spans="3:15" x14ac:dyDescent="0.25">
      <c r="C13" s="24" t="s">
        <v>38</v>
      </c>
      <c r="D13" s="4">
        <v>129.15</v>
      </c>
      <c r="E13" s="9">
        <f t="shared" si="0"/>
        <v>1390.1705999999999</v>
      </c>
      <c r="F13" s="9">
        <v>1860.88</v>
      </c>
      <c r="G13" s="19">
        <v>2</v>
      </c>
      <c r="H13" s="28">
        <f t="shared" si="1"/>
        <v>3721.76</v>
      </c>
      <c r="I13" s="28">
        <v>7000</v>
      </c>
      <c r="J13" s="30">
        <f t="shared" si="2"/>
        <v>26052320</v>
      </c>
      <c r="K13" s="31">
        <v>8000</v>
      </c>
      <c r="L13" s="33">
        <f t="shared" si="3"/>
        <v>29774080</v>
      </c>
    </row>
    <row r="14" spans="3:15" x14ac:dyDescent="0.25">
      <c r="C14" s="24"/>
      <c r="D14" s="4">
        <v>146.94</v>
      </c>
      <c r="E14" s="9">
        <f t="shared" si="0"/>
        <v>1581.6621599999999</v>
      </c>
      <c r="F14" s="9">
        <v>2128.9499999999998</v>
      </c>
      <c r="G14" s="19">
        <v>50</v>
      </c>
      <c r="H14" s="28">
        <f t="shared" si="1"/>
        <v>106447.49999999999</v>
      </c>
      <c r="I14" s="28">
        <v>7000</v>
      </c>
      <c r="J14" s="30">
        <f t="shared" si="2"/>
        <v>745132499.99999988</v>
      </c>
      <c r="K14" s="31">
        <v>8000</v>
      </c>
      <c r="L14" s="33">
        <f t="shared" si="3"/>
        <v>851579999.99999988</v>
      </c>
    </row>
    <row r="15" spans="3:15" x14ac:dyDescent="0.25">
      <c r="C15" s="24"/>
      <c r="D15" s="4">
        <v>181.22</v>
      </c>
      <c r="E15" s="9">
        <f t="shared" si="0"/>
        <v>1950.6520799999998</v>
      </c>
      <c r="F15" s="9">
        <v>2599.1999999999998</v>
      </c>
      <c r="G15" s="19">
        <v>48</v>
      </c>
      <c r="H15" s="28">
        <f t="shared" si="1"/>
        <v>124761.59999999999</v>
      </c>
      <c r="I15" s="28">
        <v>7000</v>
      </c>
      <c r="J15" s="30">
        <f t="shared" si="2"/>
        <v>873331199.99999988</v>
      </c>
      <c r="K15" s="31">
        <v>8000</v>
      </c>
      <c r="L15" s="33">
        <f t="shared" si="3"/>
        <v>998092799.99999988</v>
      </c>
      <c r="O15">
        <f>15000000/1950</f>
        <v>7692.3076923076924</v>
      </c>
    </row>
    <row r="16" spans="3:15" x14ac:dyDescent="0.25">
      <c r="C16" s="24" t="s">
        <v>39</v>
      </c>
      <c r="D16" s="4">
        <v>97.02</v>
      </c>
      <c r="E16" s="9">
        <f t="shared" si="0"/>
        <v>1044.3232799999998</v>
      </c>
      <c r="F16" s="9">
        <v>1405.78</v>
      </c>
      <c r="G16" s="19">
        <v>78</v>
      </c>
      <c r="H16" s="28">
        <f t="shared" si="1"/>
        <v>109650.84</v>
      </c>
      <c r="I16" s="28">
        <v>7000</v>
      </c>
      <c r="J16" s="30">
        <f t="shared" si="2"/>
        <v>767555880</v>
      </c>
      <c r="K16" s="31">
        <v>8000</v>
      </c>
      <c r="L16" s="33">
        <f t="shared" si="3"/>
        <v>877206720</v>
      </c>
      <c r="O16">
        <f>13300000/1044.32</f>
        <v>12735.559981614831</v>
      </c>
    </row>
    <row r="17" spans="3:15" x14ac:dyDescent="0.25">
      <c r="C17" s="24"/>
      <c r="D17" s="4">
        <v>117.36</v>
      </c>
      <c r="E17" s="9">
        <f t="shared" si="0"/>
        <v>1263.2630399999998</v>
      </c>
      <c r="F17" s="9">
        <v>1685.84</v>
      </c>
      <c r="G17" s="19">
        <v>1</v>
      </c>
      <c r="H17" s="28">
        <f t="shared" si="1"/>
        <v>1685.84</v>
      </c>
      <c r="I17" s="28">
        <v>7000</v>
      </c>
      <c r="J17" s="30">
        <f t="shared" si="2"/>
        <v>11800880</v>
      </c>
      <c r="K17" s="31">
        <v>8000</v>
      </c>
      <c r="L17" s="33">
        <f t="shared" si="3"/>
        <v>13486720</v>
      </c>
    </row>
    <row r="18" spans="3:15" x14ac:dyDescent="0.25">
      <c r="C18" s="24" t="s">
        <v>40</v>
      </c>
      <c r="D18" s="4">
        <v>129.15</v>
      </c>
      <c r="E18" s="9">
        <f t="shared" si="0"/>
        <v>1390.1705999999999</v>
      </c>
      <c r="F18" s="9">
        <v>1860.88</v>
      </c>
      <c r="G18" s="19">
        <v>2</v>
      </c>
      <c r="H18" s="28">
        <f t="shared" si="1"/>
        <v>3721.76</v>
      </c>
      <c r="I18" s="28">
        <v>7000</v>
      </c>
      <c r="J18" s="30">
        <f t="shared" si="2"/>
        <v>26052320</v>
      </c>
      <c r="K18" s="31">
        <v>8000</v>
      </c>
      <c r="L18" s="33">
        <f t="shared" si="3"/>
        <v>29774080</v>
      </c>
    </row>
    <row r="19" spans="3:15" x14ac:dyDescent="0.25">
      <c r="C19" s="24"/>
      <c r="D19" s="4">
        <v>146.94</v>
      </c>
      <c r="E19" s="9">
        <f t="shared" si="0"/>
        <v>1581.6621599999999</v>
      </c>
      <c r="F19" s="9">
        <v>2128.9499999999998</v>
      </c>
      <c r="G19" s="19">
        <v>48</v>
      </c>
      <c r="H19" s="28">
        <f t="shared" si="1"/>
        <v>102189.59999999999</v>
      </c>
      <c r="I19" s="28">
        <v>7000</v>
      </c>
      <c r="J19" s="30">
        <f t="shared" si="2"/>
        <v>715327199.99999988</v>
      </c>
      <c r="K19" s="31">
        <v>8000</v>
      </c>
      <c r="L19" s="33">
        <f t="shared" si="3"/>
        <v>817516799.99999988</v>
      </c>
      <c r="O19">
        <f>165000000/1900</f>
        <v>86842.105263157893</v>
      </c>
    </row>
    <row r="20" spans="3:15" x14ac:dyDescent="0.25">
      <c r="C20" s="24"/>
      <c r="D20" s="4">
        <v>181.22</v>
      </c>
      <c r="E20" s="9">
        <f t="shared" si="0"/>
        <v>1950.6520799999998</v>
      </c>
      <c r="F20" s="9">
        <v>2599.1999999999998</v>
      </c>
      <c r="G20" s="19">
        <v>50</v>
      </c>
      <c r="H20" s="28">
        <f t="shared" si="1"/>
        <v>129959.99999999999</v>
      </c>
      <c r="I20" s="28">
        <v>7000</v>
      </c>
      <c r="J20" s="30">
        <f t="shared" si="2"/>
        <v>909719999.99999988</v>
      </c>
      <c r="K20" s="31">
        <v>8000</v>
      </c>
      <c r="L20" s="33">
        <f t="shared" si="3"/>
        <v>1039679999.9999999</v>
      </c>
    </row>
    <row r="21" spans="3:15" x14ac:dyDescent="0.25">
      <c r="C21" s="24" t="s">
        <v>41</v>
      </c>
      <c r="D21" s="4">
        <v>88.67</v>
      </c>
      <c r="E21" s="9">
        <f t="shared" si="0"/>
        <v>954.44387999999992</v>
      </c>
      <c r="F21" s="9">
        <v>1283.03</v>
      </c>
      <c r="G21" s="19">
        <v>2</v>
      </c>
      <c r="H21" s="28">
        <f t="shared" si="1"/>
        <v>2566.06</v>
      </c>
      <c r="I21" s="28">
        <v>7000</v>
      </c>
      <c r="J21" s="30">
        <f t="shared" si="2"/>
        <v>17962420</v>
      </c>
      <c r="K21" s="31">
        <v>8000</v>
      </c>
      <c r="L21" s="33">
        <f t="shared" si="3"/>
        <v>20528480</v>
      </c>
    </row>
    <row r="22" spans="3:15" x14ac:dyDescent="0.25">
      <c r="C22" s="24"/>
      <c r="D22" s="4">
        <v>97.17</v>
      </c>
      <c r="E22" s="9">
        <f t="shared" si="0"/>
        <v>1045.93788</v>
      </c>
      <c r="F22" s="9">
        <v>1401.27</v>
      </c>
      <c r="G22" s="19">
        <v>64</v>
      </c>
      <c r="H22" s="28">
        <f t="shared" si="1"/>
        <v>89681.279999999999</v>
      </c>
      <c r="I22" s="28">
        <v>7000</v>
      </c>
      <c r="J22" s="30">
        <f t="shared" si="2"/>
        <v>627768960</v>
      </c>
      <c r="K22" s="31">
        <v>8000</v>
      </c>
      <c r="L22" s="33">
        <f t="shared" si="3"/>
        <v>717450240</v>
      </c>
    </row>
    <row r="23" spans="3:15" x14ac:dyDescent="0.25">
      <c r="C23" s="24"/>
      <c r="D23" s="4">
        <v>127.3</v>
      </c>
      <c r="E23" s="9">
        <f t="shared" si="0"/>
        <v>1370.2571999999998</v>
      </c>
      <c r="F23" s="9">
        <v>1829.16</v>
      </c>
      <c r="G23" s="19">
        <v>66</v>
      </c>
      <c r="H23" s="28">
        <f t="shared" si="1"/>
        <v>120724.56000000001</v>
      </c>
      <c r="I23" s="28">
        <v>7000</v>
      </c>
      <c r="J23" s="30">
        <f t="shared" si="2"/>
        <v>845071920.00000012</v>
      </c>
      <c r="K23" s="31">
        <v>8000</v>
      </c>
      <c r="L23" s="33">
        <f t="shared" si="3"/>
        <v>965796480.00000012</v>
      </c>
    </row>
    <row r="24" spans="3:15" x14ac:dyDescent="0.25">
      <c r="C24" s="25" t="s">
        <v>0</v>
      </c>
      <c r="D24" s="26"/>
      <c r="E24" s="26"/>
      <c r="F24" s="27"/>
      <c r="G24" s="35">
        <f>SUM(G10:G23)</f>
        <v>511</v>
      </c>
      <c r="H24" s="29"/>
      <c r="I24" s="29"/>
      <c r="J24" s="34">
        <f>SUM(J10:J23)</f>
        <v>6956664120</v>
      </c>
      <c r="K24" s="32"/>
      <c r="L24" s="34">
        <f>SUM(L10:L23)</f>
        <v>7950473280</v>
      </c>
    </row>
  </sheetData>
  <mergeCells count="6">
    <mergeCell ref="C24:F24"/>
    <mergeCell ref="C10:C12"/>
    <mergeCell ref="C13:C15"/>
    <mergeCell ref="C16:C17"/>
    <mergeCell ref="C18:C20"/>
    <mergeCell ref="C21:C2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Sheet2</vt:lpstr>
      <vt:lpstr>Sheet3</vt:lpstr>
      <vt:lpstr>Inventory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trainee4</dc:creator>
  <cp:lastModifiedBy>Tejas Bharadwaj</cp:lastModifiedBy>
  <dcterms:created xsi:type="dcterms:W3CDTF">2021-11-30T11:16:04Z</dcterms:created>
  <dcterms:modified xsi:type="dcterms:W3CDTF">2022-01-25T12:15:43Z</dcterms:modified>
</cp:coreProperties>
</file>