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engineer11\Desktop\VIS(2021-22)-PL799-698-883_Hindustan tins\"/>
    </mc:Choice>
  </mc:AlternateContent>
  <xr:revisionPtr revIDLastSave="0" documentId="13_ncr:1_{EAD15B8C-4EC1-4EC2-BDD1-F9AB02F927D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Basics Information" sheetId="3" r:id="rId1"/>
    <sheet name="Market Value" sheetId="1" r:id="rId2"/>
    <sheet name="Land Guideline Value" sheetId="2" r:id="rId3"/>
    <sheet name="Structure Guideline Value" sheetId="4" r:id="rId4"/>
  </sheets>
  <externalReferences>
    <externalReference r:id="rId5"/>
  </externalReferences>
  <definedNames>
    <definedName name="_xlnm._FilterDatabase" localSheetId="1" hidden="1">'Market Value'!$B$3:$Y$44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1" l="1"/>
  <c r="I40" i="1"/>
  <c r="P35" i="1"/>
  <c r="R35" i="1"/>
  <c r="X38" i="1"/>
  <c r="X37" i="1"/>
  <c r="X30" i="1"/>
  <c r="X29" i="1"/>
  <c r="X28" i="1"/>
  <c r="X27" i="1"/>
  <c r="X26" i="1"/>
  <c r="X25" i="1"/>
  <c r="X22" i="1"/>
  <c r="X21" i="1"/>
  <c r="X19" i="1"/>
  <c r="X16" i="1"/>
  <c r="X15" i="1"/>
  <c r="X14" i="1"/>
  <c r="X13" i="1"/>
  <c r="X12" i="1"/>
  <c r="X11" i="1"/>
  <c r="X10" i="1"/>
  <c r="X9" i="1"/>
  <c r="X8" i="1"/>
  <c r="X6" i="1"/>
  <c r="R38" i="1"/>
  <c r="P38" i="1"/>
  <c r="R37" i="1"/>
  <c r="P37" i="1"/>
  <c r="R30" i="1"/>
  <c r="P30" i="1"/>
  <c r="R29" i="1"/>
  <c r="P29" i="1"/>
  <c r="R28" i="1"/>
  <c r="P28" i="1"/>
  <c r="R27" i="1"/>
  <c r="P27" i="1"/>
  <c r="R26" i="1"/>
  <c r="P26" i="1"/>
  <c r="R25" i="1"/>
  <c r="P25" i="1"/>
  <c r="R22" i="1"/>
  <c r="P22" i="1"/>
  <c r="R21" i="1"/>
  <c r="P21" i="1"/>
  <c r="R19" i="1"/>
  <c r="P19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8" i="1"/>
  <c r="P8" i="1"/>
  <c r="R36" i="1"/>
  <c r="R34" i="1"/>
  <c r="R20" i="1"/>
  <c r="R18" i="1"/>
  <c r="R17" i="1"/>
  <c r="R7" i="1"/>
  <c r="P36" i="1"/>
  <c r="P34" i="1"/>
  <c r="P20" i="1"/>
  <c r="P18" i="1"/>
  <c r="P17" i="1"/>
  <c r="P7" i="1"/>
  <c r="E35" i="1"/>
  <c r="E32" i="1"/>
  <c r="I31" i="1"/>
  <c r="H31" i="1" s="1"/>
  <c r="I23" i="1"/>
  <c r="H23" i="1" s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5" i="1"/>
  <c r="M26" i="1"/>
  <c r="M27" i="1"/>
  <c r="M28" i="1"/>
  <c r="M29" i="1"/>
  <c r="M30" i="1"/>
  <c r="M32" i="1"/>
  <c r="M33" i="1"/>
  <c r="M34" i="1"/>
  <c r="M35" i="1"/>
  <c r="M36" i="1"/>
  <c r="M37" i="1"/>
  <c r="M38" i="1"/>
  <c r="H38" i="1"/>
  <c r="Y38" i="1" s="1"/>
  <c r="H37" i="1"/>
  <c r="H36" i="1"/>
  <c r="Y36" i="1" s="1"/>
  <c r="H35" i="1"/>
  <c r="Y35" i="1" s="1"/>
  <c r="H34" i="1"/>
  <c r="Y34" i="1" s="1"/>
  <c r="H30" i="1"/>
  <c r="H29" i="1"/>
  <c r="H28" i="1"/>
  <c r="Y28" i="1" s="1"/>
  <c r="H27" i="1"/>
  <c r="Y27" i="1" s="1"/>
  <c r="H26" i="1"/>
  <c r="H25" i="1"/>
  <c r="H22" i="1"/>
  <c r="Y22" i="1" s="1"/>
  <c r="H21" i="1"/>
  <c r="H20" i="1"/>
  <c r="Y20" i="1" s="1"/>
  <c r="H19" i="1"/>
  <c r="H18" i="1"/>
  <c r="Y18" i="1" s="1"/>
  <c r="H17" i="1"/>
  <c r="Y17" i="1" s="1"/>
  <c r="H16" i="1"/>
  <c r="H15" i="1"/>
  <c r="Y15" i="1" s="1"/>
  <c r="H14" i="1"/>
  <c r="H13" i="1"/>
  <c r="H12" i="1"/>
  <c r="H11" i="1"/>
  <c r="Y11" i="1" s="1"/>
  <c r="H10" i="1"/>
  <c r="H9" i="1"/>
  <c r="H8" i="1"/>
  <c r="H7" i="1"/>
  <c r="Y7" i="1" s="1"/>
  <c r="H6" i="1"/>
  <c r="H5" i="1"/>
  <c r="H4" i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9" i="3"/>
  <c r="G30" i="3"/>
  <c r="G31" i="3"/>
  <c r="G32" i="3"/>
  <c r="G33" i="3"/>
  <c r="G34" i="3"/>
  <c r="G38" i="3"/>
  <c r="G39" i="3"/>
  <c r="G40" i="3"/>
  <c r="G41" i="3"/>
  <c r="G42" i="3"/>
  <c r="G43" i="3"/>
  <c r="G44" i="3"/>
  <c r="G45" i="3"/>
  <c r="G4" i="3"/>
  <c r="H45" i="3"/>
  <c r="H35" i="3"/>
  <c r="G35" i="3" s="1"/>
  <c r="H27" i="3"/>
  <c r="G27" i="3" s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8" i="3"/>
  <c r="E39" i="3"/>
  <c r="E40" i="3"/>
  <c r="E41" i="3"/>
  <c r="E42" i="3"/>
  <c r="E43" i="3"/>
  <c r="H39" i="1" l="1"/>
  <c r="H40" i="1" s="1"/>
  <c r="S35" i="1"/>
  <c r="T35" i="1" s="1"/>
  <c r="Y26" i="1"/>
  <c r="Y30" i="1"/>
  <c r="Y8" i="1"/>
  <c r="Y9" i="1"/>
  <c r="Y13" i="1"/>
  <c r="Y19" i="1"/>
  <c r="Y10" i="1"/>
  <c r="Y14" i="1"/>
  <c r="Y25" i="1"/>
  <c r="Y29" i="1"/>
  <c r="Y21" i="1"/>
  <c r="Y12" i="1"/>
  <c r="Y37" i="1"/>
  <c r="S16" i="1"/>
  <c r="T16" i="1" s="1"/>
  <c r="U16" i="1" s="1"/>
  <c r="W16" i="1" s="1"/>
  <c r="S8" i="1"/>
  <c r="S22" i="1"/>
  <c r="T22" i="1" s="1"/>
  <c r="U22" i="1" s="1"/>
  <c r="W22" i="1" s="1"/>
  <c r="S25" i="1"/>
  <c r="T25" i="1" s="1"/>
  <c r="S29" i="1"/>
  <c r="T29" i="1" s="1"/>
  <c r="U29" i="1" s="1"/>
  <c r="W29" i="1" s="1"/>
  <c r="S12" i="1"/>
  <c r="T12" i="1" s="1"/>
  <c r="S14" i="1"/>
  <c r="T14" i="1" s="1"/>
  <c r="U14" i="1" s="1"/>
  <c r="W14" i="1" s="1"/>
  <c r="S9" i="1"/>
  <c r="T9" i="1" s="1"/>
  <c r="U9" i="1" s="1"/>
  <c r="W9" i="1" s="1"/>
  <c r="Y16" i="1"/>
  <c r="S30" i="1"/>
  <c r="T30" i="1" s="1"/>
  <c r="U30" i="1" s="1"/>
  <c r="W30" i="1" s="1"/>
  <c r="S13" i="1"/>
  <c r="T13" i="1" s="1"/>
  <c r="U13" i="1" s="1"/>
  <c r="W13" i="1" s="1"/>
  <c r="S21" i="1"/>
  <c r="T21" i="1" s="1"/>
  <c r="U21" i="1" s="1"/>
  <c r="W21" i="1" s="1"/>
  <c r="S28" i="1"/>
  <c r="T28" i="1" s="1"/>
  <c r="U28" i="1" s="1"/>
  <c r="W28" i="1" s="1"/>
  <c r="S11" i="1"/>
  <c r="T11" i="1" s="1"/>
  <c r="S19" i="1"/>
  <c r="T19" i="1" s="1"/>
  <c r="S27" i="1"/>
  <c r="T27" i="1" s="1"/>
  <c r="U27" i="1" s="1"/>
  <c r="W27" i="1" s="1"/>
  <c r="S38" i="1"/>
  <c r="T38" i="1" s="1"/>
  <c r="S18" i="1"/>
  <c r="T18" i="1" s="1"/>
  <c r="U18" i="1" s="1"/>
  <c r="W18" i="1" s="1"/>
  <c r="S10" i="1"/>
  <c r="T10" i="1" s="1"/>
  <c r="U10" i="1" s="1"/>
  <c r="W10" i="1" s="1"/>
  <c r="S15" i="1"/>
  <c r="T15" i="1" s="1"/>
  <c r="U15" i="1" s="1"/>
  <c r="W15" i="1" s="1"/>
  <c r="S26" i="1"/>
  <c r="T26" i="1" s="1"/>
  <c r="U26" i="1" s="1"/>
  <c r="W26" i="1" s="1"/>
  <c r="S37" i="1"/>
  <c r="T37" i="1" s="1"/>
  <c r="U37" i="1" s="1"/>
  <c r="W37" i="1" s="1"/>
  <c r="S17" i="1"/>
  <c r="T17" i="1" s="1"/>
  <c r="U17" i="1" s="1"/>
  <c r="W17" i="1" s="1"/>
  <c r="S7" i="1"/>
  <c r="T7" i="1" s="1"/>
  <c r="U7" i="1" s="1"/>
  <c r="W7" i="1" s="1"/>
  <c r="S20" i="1"/>
  <c r="S34" i="1"/>
  <c r="T34" i="1" s="1"/>
  <c r="U34" i="1" s="1"/>
  <c r="W34" i="1" s="1"/>
  <c r="S36" i="1"/>
  <c r="T36" i="1" s="1"/>
  <c r="U36" i="1" s="1"/>
  <c r="W36" i="1" s="1"/>
  <c r="I5" i="2"/>
  <c r="I4" i="2"/>
  <c r="E4" i="2"/>
  <c r="U35" i="1" l="1"/>
  <c r="W35" i="1" s="1"/>
  <c r="T8" i="1"/>
  <c r="U8" i="1" s="1"/>
  <c r="W8" i="1" s="1"/>
  <c r="U12" i="1"/>
  <c r="W12" i="1" s="1"/>
  <c r="U25" i="1"/>
  <c r="W25" i="1" s="1"/>
  <c r="U38" i="1"/>
  <c r="W38" i="1" s="1"/>
  <c r="U11" i="1"/>
  <c r="W11" i="1" s="1"/>
  <c r="U19" i="1"/>
  <c r="W19" i="1" s="1"/>
  <c r="T20" i="1"/>
  <c r="U20" i="1" s="1"/>
  <c r="W20" i="1" s="1"/>
  <c r="M5" i="1"/>
  <c r="P5" i="1"/>
  <c r="R5" i="1"/>
  <c r="M6" i="1"/>
  <c r="P6" i="1"/>
  <c r="R6" i="1"/>
  <c r="Y5" i="1"/>
  <c r="Y6" i="1"/>
  <c r="R4" i="1"/>
  <c r="Y4" i="1"/>
  <c r="S6" i="1" l="1"/>
  <c r="T6" i="1" s="1"/>
  <c r="S5" i="1"/>
  <c r="T5" i="1" s="1"/>
  <c r="U5" i="1" s="1"/>
  <c r="W5" i="1" s="1"/>
  <c r="Y40" i="1"/>
  <c r="U6" i="1" l="1"/>
  <c r="W6" i="1" s="1"/>
  <c r="P4" i="1"/>
  <c r="H4" i="2" l="1"/>
  <c r="K4" i="4"/>
  <c r="L4" i="4" s="1"/>
  <c r="F4" i="4"/>
  <c r="F5" i="4"/>
  <c r="E5" i="4"/>
  <c r="E5" i="2"/>
  <c r="D5" i="2"/>
  <c r="L5" i="4" l="1"/>
  <c r="M4" i="1" l="1"/>
  <c r="S4" i="1"/>
  <c r="S40" i="1" s="1"/>
  <c r="T4" i="1" l="1"/>
  <c r="U4" i="1" s="1"/>
  <c r="W4" i="1" l="1"/>
  <c r="W40" i="1" s="1"/>
</calcChain>
</file>

<file path=xl/sharedStrings.xml><?xml version="1.0" encoding="utf-8"?>
<sst xmlns="http://schemas.openxmlformats.org/spreadsheetml/2006/main" count="348" uniqueCount="110">
  <si>
    <t>SR. No.</t>
  </si>
  <si>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</si>
  <si>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</si>
  <si>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</si>
  <si>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</si>
  <si>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</si>
  <si>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</si>
  <si>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</si>
  <si>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Depreciated Value
(INR)</t>
  </si>
  <si>
    <t>Depreciated Replacement Market Value
(INR)</t>
  </si>
  <si>
    <t>Particular</t>
  </si>
  <si>
    <t>Gross Replacement Value
(INR)</t>
  </si>
  <si>
    <t>Tin Shed</t>
  </si>
  <si>
    <t>Reliance Shed</t>
  </si>
  <si>
    <t>Discounting Factor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</si>
  <si>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</si>
  <si>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</si>
  <si>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</si>
  <si>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</si>
  <si>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</si>
  <si>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ft)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</si>
  <si>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mtr)</t>
    </r>
  </si>
  <si>
    <t>Construction Category</t>
  </si>
  <si>
    <r>
      <t xml:space="preserve">Height </t>
    </r>
    <r>
      <rPr>
        <i/>
        <sz val="10"/>
        <rFont val="Calibri"/>
        <family val="2"/>
        <scheme val="minor"/>
      </rPr>
      <t>(in ft.)</t>
    </r>
  </si>
  <si>
    <r>
      <t xml:space="preserve">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</si>
  <si>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ft.)</t>
    </r>
  </si>
  <si>
    <r>
      <t xml:space="preserve">Govt. Guideline Value
</t>
    </r>
    <r>
      <rPr>
        <i/>
        <sz val="10"/>
        <rFont val="Calibri"/>
        <family val="2"/>
        <scheme val="minor"/>
      </rPr>
      <t>(INR)</t>
    </r>
  </si>
  <si>
    <r>
      <t xml:space="preserve">Land 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</si>
  <si>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yd.)</t>
    </r>
  </si>
  <si>
    <t>Type of Land</t>
  </si>
  <si>
    <t>Residential Land</t>
  </si>
  <si>
    <t>Sr. No.</t>
  </si>
  <si>
    <r>
      <t xml:space="preserve">Govt. Guideline Rate Adopted
</t>
    </r>
    <r>
      <rPr>
        <i/>
        <sz val="10"/>
        <rFont val="Calibri"/>
        <family val="2"/>
        <scheme val="minor"/>
      </rPr>
      <t>(In per sq. mtr.)</t>
    </r>
  </si>
  <si>
    <r>
      <t xml:space="preserve">Additional Factor </t>
    </r>
    <r>
      <rPr>
        <i/>
        <sz val="10"/>
        <rFont val="Calibri"/>
        <family val="2"/>
        <scheme val="minor"/>
      </rPr>
      <t>(in %)</t>
    </r>
  </si>
  <si>
    <r>
      <t xml:space="preserve">Year of Construction </t>
    </r>
    <r>
      <rPr>
        <i/>
        <sz val="10"/>
        <rFont val="Calibri"/>
        <family val="2"/>
        <scheme val="minor"/>
      </rPr>
      <t>(In year)</t>
    </r>
  </si>
  <si>
    <t>LAND GUIDELINE VALUE</t>
  </si>
  <si>
    <t>STRUCTURE GUIDELINE VALUE</t>
  </si>
  <si>
    <r>
      <t xml:space="preserve">Govt. Guideline Rate
</t>
    </r>
    <r>
      <rPr>
        <i/>
        <sz val="10"/>
        <rFont val="Calibri"/>
        <family val="2"/>
        <scheme val="minor"/>
      </rPr>
      <t>(In per sq. mtr.)</t>
    </r>
  </si>
  <si>
    <t>Year Factor</t>
  </si>
  <si>
    <t>Condition of Structure</t>
  </si>
  <si>
    <t xml:space="preserve">Deterioration Factor
(INR) </t>
  </si>
  <si>
    <t>Ordinary</t>
  </si>
  <si>
    <t>GF</t>
  </si>
  <si>
    <t>RCC Framed pillar beam column structure on RCC slab</t>
  </si>
  <si>
    <t>Class C Construction (Ordinary)</t>
  </si>
  <si>
    <t>GI Shed mounted over Iron frame structure , cemented pillar &amp; brickwall</t>
  </si>
  <si>
    <t>ACC Shed mounted over Iron frame structure, cemented pillar &amp; brickwall</t>
  </si>
  <si>
    <t>REMARKS:-</t>
  </si>
  <si>
    <t>3. Structure valuation is done on the basis of ' Depreciated Cost Approach' method only.</t>
  </si>
  <si>
    <t>Govt. Guideline rates
(per sq. mtr.)</t>
  </si>
  <si>
    <t>Total Govt. Guideline value</t>
  </si>
  <si>
    <r>
      <t xml:space="preserve">Govt. Guideline Rates
</t>
    </r>
    <r>
      <rPr>
        <i/>
        <sz val="10"/>
        <rFont val="Calibri"/>
        <family val="2"/>
        <scheme val="minor"/>
      </rPr>
      <t>(In per sq. yds.)</t>
    </r>
  </si>
  <si>
    <r>
      <t xml:space="preserve">Govt. Guideline Rates Adopted
</t>
    </r>
    <r>
      <rPr>
        <i/>
        <sz val="10"/>
        <rFont val="Calibri"/>
        <family val="2"/>
        <scheme val="minor"/>
      </rPr>
      <t>(In per sq.yds.)</t>
    </r>
  </si>
  <si>
    <t>Fabrication Shed Total Area - Metal &amp; RCC (Floor Design 5 T per Sq Mtr)</t>
  </si>
  <si>
    <t>Old Printing &amp; Old Tin Plate Shed Total Area - Metal(Floor Design 5 T per Sq Mtr)</t>
  </si>
  <si>
    <t>Photo-Litho Shed Total Area - ACC in 1996 &amp; RCC in 2014 (Roof Design 500 kg per Sq Mtr)</t>
  </si>
  <si>
    <t>Ammonia Plant Shed Total Area - ACC</t>
  </si>
  <si>
    <t>New Ammonia Plant Shed Total Area - RCC(Roof Design 1 T per Sq Mtr)</t>
  </si>
  <si>
    <t>Meter Room Total Area - RCC</t>
  </si>
  <si>
    <t>Dispencery / Record Room, Block Total Area - RCC</t>
  </si>
  <si>
    <t>Security Room or Time Office Total Area - RCC</t>
  </si>
  <si>
    <t>Old Chilling Plant Total Area RCC</t>
  </si>
  <si>
    <t>Canteen Total Area - RCC</t>
  </si>
  <si>
    <t>Admin Office Total Area - RCC</t>
  </si>
  <si>
    <t>Scrap Store &amp; Alluminium Foil Store Total Area - ACC</t>
  </si>
  <si>
    <t>Compressor Room , Generator Room , Electrical Room  Total Area- RCC(Roof Design 500 kg per Sq Mtr)</t>
  </si>
  <si>
    <t>Exicise &amp; A/C Office Total Area Included in Fabrication shed)</t>
  </si>
  <si>
    <t>PPC Area Total - Included in Fabrication shed)</t>
  </si>
  <si>
    <t>Dispatch Area Total - Metal</t>
  </si>
  <si>
    <t xml:space="preserve">Component Ist Shed Total Area, Metal sheet(Floor Design 5 T per Sq Mtr) </t>
  </si>
  <si>
    <t>Component, spare parts room on GF(Roof Design 500 kg per Sq Mtr)</t>
  </si>
  <si>
    <t>New Printing Plant Metal sheets ( Floor Design 5 T per Sq Mtr)</t>
  </si>
  <si>
    <t>New Tin Plate Total Area-RCC(Roof Design 1 T per Sq Mtr)</t>
  </si>
  <si>
    <t>Parking Total Area Open ( 1575.26 Sq Ft @ Rs. 800/- per Sq Ft)</t>
  </si>
  <si>
    <t>Component Toilet Total Area -RCC(Roof Design 350 kg per Sq Mtr)</t>
  </si>
  <si>
    <t>Boundry Wall ( Plinth level 10 ft hight + 3 ft Grill+ Wirebird ring)</t>
  </si>
  <si>
    <t>First Floor and 2nd Floor</t>
  </si>
  <si>
    <t>Component, Cartons store on FF(Roof Design 500 kg per Sq Mtr)</t>
  </si>
  <si>
    <t>Positive Pressure , Mumty on SF(Roof Design 500 kg per Sq Mtr)</t>
  </si>
  <si>
    <t>Driver Room Total Area - RCC (Roof Design 350 kg per Sq Mtr)</t>
  </si>
  <si>
    <t>Security Officer Residence &amp; Over Head Tank Total Area-RCC</t>
  </si>
  <si>
    <t>Fumigation Room Total Area</t>
  </si>
  <si>
    <t>Fabrication Shed Total Area - RCC (Roof Design 500 kg per Sq Mtr)</t>
  </si>
  <si>
    <t>Addition in Building from 27.2.2014 to 24.1.2015</t>
  </si>
  <si>
    <t>New Shed ( on LPG yard ) Metal Sheets (Floor Design   T per Sq Mtr ) ( 164.6 x 64.6 ) + ( 40 x 12 x 2 )</t>
  </si>
  <si>
    <t>New Shed ( on LPG yard ) PARCHATTI   ( 164.6 x 64.6 )  Steel Structure</t>
  </si>
  <si>
    <t xml:space="preserve">Forklift Shed </t>
  </si>
  <si>
    <t xml:space="preserve">Amonia Plant ( 40 X 12 ) </t>
  </si>
  <si>
    <t>Sewer Line  1100 RFT</t>
  </si>
  <si>
    <t>Addition in Admin Block ( 50 X 50 ) Structure only</t>
  </si>
  <si>
    <t xml:space="preserve">Interior work  in Admin Block ( 50 x 50 ) </t>
  </si>
  <si>
    <t>Class C Construction (average)</t>
  </si>
  <si>
    <t>NA</t>
  </si>
  <si>
    <t>25'</t>
  </si>
  <si>
    <t>12'</t>
  </si>
  <si>
    <t>10'</t>
  </si>
  <si>
    <t>15'</t>
  </si>
  <si>
    <t>16'</t>
  </si>
  <si>
    <t>11'</t>
  </si>
  <si>
    <t>17'</t>
  </si>
  <si>
    <t>14'</t>
  </si>
  <si>
    <t>ACC in 1996,  ( Rcc in 2014)</t>
  </si>
  <si>
    <t>TOTAL A</t>
  </si>
  <si>
    <t>TOTAL B</t>
  </si>
  <si>
    <t>2014 , 2015</t>
  </si>
  <si>
    <t>3400 Rft</t>
  </si>
  <si>
    <t>2. Structure details has been taken on the basis of Building sheet provided to us .</t>
  </si>
  <si>
    <t>1.All the structure present within the compound of M/s. Hindustan Tin Pvt. Ltd. situated at Village – Bhigan, Sonipat, Haryana has been considered in this valuation report.</t>
  </si>
  <si>
    <t xml:space="preserve">MARKET VALUE OF STRUCTURES | M/S. HINDUSTAN TIN WORKS LTD.| VILLAGE– BHIGAN, SONIPAT, HARYANA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</si>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</sst>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[$₹-4009]\ * #,##0.00_ ;_ [$₹-4009]\ * \-#,##0.00_ ;_ [$₹-4009]\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9" fontId="0" fillId="0" borderId="0" xfId="2" applyFont="1"/>
    <xf numFmtId="167" fontId="0" fillId="0" borderId="1" xfId="1" applyNumberFormat="1" applyFont="1" applyBorder="1" applyAlignment="1">
      <alignment vertical="center"/>
    </xf>
    <xf numFmtId="0" fontId="8" fillId="0" borderId="1" xfId="0" applyFont="1" applyBorder="1"/>
    <xf numFmtId="0" fontId="9" fillId="0" borderId="0" xfId="0" applyFont="1"/>
    <xf numFmtId="0" fontId="8" fillId="0" borderId="0" xfId="0" applyFont="1"/>
    <xf numFmtId="0" fontId="9" fillId="0" borderId="1" xfId="0" applyFont="1" applyBorder="1"/>
    <xf numFmtId="0" fontId="11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2" fontId="8" fillId="0" borderId="1" xfId="0" applyNumberFormat="1" applyFont="1" applyBorder="1"/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/>
    <xf numFmtId="2" fontId="10" fillId="0" borderId="0" xfId="0" applyNumberFormat="1" applyFont="1"/>
    <xf numFmtId="2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2" fontId="8" fillId="0" borderId="3" xfId="0" applyNumberFormat="1" applyFont="1" applyBorder="1"/>
    <xf numFmtId="4" fontId="9" fillId="0" borderId="1" xfId="0" applyNumberFormat="1" applyFont="1" applyBorder="1"/>
    <xf numFmtId="2" fontId="9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166" fontId="12" fillId="0" borderId="1" xfId="1" applyNumberFormat="1" applyFont="1" applyBorder="1" applyAlignment="1">
      <alignment horizontal="center" vertical="center"/>
    </xf>
    <xf numFmtId="9" fontId="12" fillId="0" borderId="1" xfId="2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6" fontId="18" fillId="0" borderId="1" xfId="1" applyNumberFormat="1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22" fillId="4" borderId="1" xfId="0" applyFont="1" applyFill="1" applyBorder="1"/>
    <xf numFmtId="0" fontId="11" fillId="4" borderId="1" xfId="0" applyFont="1" applyFill="1" applyBorder="1"/>
    <xf numFmtId="0" fontId="17" fillId="0" borderId="1" xfId="0" applyFont="1" applyBorder="1" applyAlignment="1">
      <alignment horizontal="left" vertical="center" wrapText="1"/>
    </xf>
    <xf numFmtId="0" fontId="8" fillId="4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2" fontId="8" fillId="4" borderId="1" xfId="0" applyNumberFormat="1" applyFont="1" applyFill="1" applyBorder="1"/>
    <xf numFmtId="0" fontId="8" fillId="4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gineer11/Desktop/VIS(2021-22)-PL799-698-883_printing_1646109955/uploads/VIS(2021-22)-PL799-698-883/SurveyForm/fwddocumentsforhtmbuildingvaluationpurpose/Copy%20of%20htm%20building%20area%20final%20on%203%204%202014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</sheetNames>
    <sheetDataSet>
      <sheetData sheetId="0">
        <row r="4">
          <cell r="B4" t="str">
            <v>Fabrication Shed Total Area - Metal &amp; RCC (Floor Design 5 T per Sq Mtr)</v>
          </cell>
          <cell r="C4" t="str">
            <v>Shed</v>
          </cell>
        </row>
        <row r="5">
          <cell r="B5" t="str">
            <v>Old Printing &amp; Old Tin Plate Shed Total Area - Metal(Floor Design 5 T per Sq Mtr)</v>
          </cell>
          <cell r="C5" t="str">
            <v>Shed</v>
          </cell>
        </row>
        <row r="6">
          <cell r="B6" t="str">
            <v>Photo-Litho Shed Total Area - ACC in 1996 &amp; RCC in 2014 (Roof Design 500 kg per Sq Mtr)</v>
          </cell>
          <cell r="C6" t="str">
            <v>RCC</v>
          </cell>
        </row>
        <row r="7">
          <cell r="B7" t="str">
            <v>Ammonia Plant Shed Total Area - ACC</v>
          </cell>
          <cell r="C7" t="str">
            <v>Shed</v>
          </cell>
        </row>
        <row r="8">
          <cell r="B8" t="str">
            <v>New Ammonia Plant Shed Total Area - RCC(Roof Design 1 T per Sq Mtr)</v>
          </cell>
          <cell r="C8" t="str">
            <v>RCC</v>
          </cell>
        </row>
        <row r="9">
          <cell r="B9" t="str">
            <v>Meter Room Total Area - RCC</v>
          </cell>
          <cell r="C9" t="str">
            <v>RCC</v>
          </cell>
        </row>
        <row r="10">
          <cell r="B10" t="str">
            <v>Dispencery / Record Room, Block Total Area - RCC</v>
          </cell>
          <cell r="C10" t="str">
            <v>RCC</v>
          </cell>
        </row>
        <row r="11">
          <cell r="B11" t="str">
            <v>Security Room or Time Office Total Area - RCC</v>
          </cell>
          <cell r="C11" t="str">
            <v>RCC</v>
          </cell>
        </row>
        <row r="12">
          <cell r="B12" t="str">
            <v>Old Chilling Plant Total Area RCC</v>
          </cell>
          <cell r="C12" t="str">
            <v>RCC</v>
          </cell>
        </row>
        <row r="13">
          <cell r="B13" t="str">
            <v>Canteen Total Area - RCC</v>
          </cell>
          <cell r="C13" t="str">
            <v>RCC</v>
          </cell>
        </row>
        <row r="14">
          <cell r="B14" t="str">
            <v>Admin Office Total Area - RCC</v>
          </cell>
          <cell r="C14" t="str">
            <v>RCC</v>
          </cell>
        </row>
        <row r="15">
          <cell r="B15" t="str">
            <v>Scrap Store &amp; Alluminium Foil Store Total Area - ACC</v>
          </cell>
          <cell r="C15" t="str">
            <v>ACC</v>
          </cell>
        </row>
        <row r="16">
          <cell r="B16" t="str">
            <v>Compressor Room , Generator Room , Electrical Room  Total Area- RCC(Roof Design 500 kg per Sq Mtr)</v>
          </cell>
          <cell r="C16" t="str">
            <v>RCC</v>
          </cell>
        </row>
        <row r="17">
          <cell r="B17" t="str">
            <v>Exicise &amp; A/C Office Total Area Included in Fabrication shed)</v>
          </cell>
          <cell r="C17"/>
        </row>
        <row r="18">
          <cell r="B18" t="str">
            <v>PPC Area Total - Included in Fabrication shed)</v>
          </cell>
          <cell r="C18"/>
        </row>
        <row r="19">
          <cell r="B19" t="str">
            <v>Dispatch Area Total - Metal</v>
          </cell>
          <cell r="C19" t="str">
            <v>Shed</v>
          </cell>
        </row>
        <row r="20">
          <cell r="B20" t="str">
            <v xml:space="preserve">Component Ist Shed Total Area, Metal sheet(Floor Design 5 T per Sq Mtr) </v>
          </cell>
          <cell r="C20" t="str">
            <v>Shed</v>
          </cell>
        </row>
        <row r="21">
          <cell r="B21" t="str">
            <v>Component, spare parts room on GF(Roof Design 500 kg per Sq Mtr)</v>
          </cell>
          <cell r="C21" t="str">
            <v>RCC</v>
          </cell>
        </row>
        <row r="22">
          <cell r="B22" t="str">
            <v>New Printing Plant Metal sheets ( Floor Design 5 T per Sq Mtr)</v>
          </cell>
          <cell r="C22" t="str">
            <v>Shed</v>
          </cell>
        </row>
        <row r="23">
          <cell r="B23" t="str">
            <v>New Tin Plate Total Area-RCC(Roof Design 1 T per Sq Mtr)</v>
          </cell>
          <cell r="C23" t="str">
            <v>RCC</v>
          </cell>
        </row>
        <row r="24">
          <cell r="B24" t="str">
            <v>Parking Total Area Open ( 1575.26 Sq Ft @ Rs. 800/- per Sq Ft)</v>
          </cell>
          <cell r="C24"/>
        </row>
        <row r="25">
          <cell r="B25" t="str">
            <v>Component Toilet Total Area -RCC(Roof Design 350 kg per Sq Mtr)</v>
          </cell>
          <cell r="C25" t="str">
            <v>RCC</v>
          </cell>
        </row>
        <row r="26">
          <cell r="B26" t="str">
            <v>Boundry Wall ( Plinth level 10 ft hight + 3 ft Grill+ Wirebird ring)</v>
          </cell>
          <cell r="C26"/>
        </row>
        <row r="27">
          <cell r="B27" t="str">
            <v>TOTAL</v>
          </cell>
          <cell r="C27"/>
        </row>
        <row r="28">
          <cell r="B28" t="str">
            <v>First Floor and 2nd Floor</v>
          </cell>
        </row>
        <row r="29">
          <cell r="B29" t="str">
            <v>Component, Cartons store on FF(Roof Design 500 kg per Sq Mtr)</v>
          </cell>
          <cell r="C29" t="str">
            <v>RCC</v>
          </cell>
        </row>
        <row r="30">
          <cell r="B30" t="str">
            <v>Positive Pressure , Mumty on SF(Roof Design 500 kg per Sq Mtr)</v>
          </cell>
          <cell r="C30" t="str">
            <v>RCC</v>
          </cell>
        </row>
        <row r="31">
          <cell r="B31" t="str">
            <v>Driver Room Total Area - RCC (Roof Design 350 kg per Sq Mtr)</v>
          </cell>
          <cell r="C31" t="str">
            <v>RCC</v>
          </cell>
        </row>
        <row r="32">
          <cell r="B32" t="str">
            <v>Security Officer Residence &amp; Over Head Tank Total Area-RCC</v>
          </cell>
          <cell r="C32" t="str">
            <v>RCC</v>
          </cell>
        </row>
        <row r="33">
          <cell r="B33" t="str">
            <v>Fumigation Room Total Area</v>
          </cell>
          <cell r="C33" t="str">
            <v>RCC</v>
          </cell>
        </row>
        <row r="34">
          <cell r="B34" t="str">
            <v>Fabrication Shed Total Area - RCC (Roof Design 500 kg per Sq Mtr)</v>
          </cell>
          <cell r="C34" t="str">
            <v>RCC</v>
          </cell>
        </row>
        <row r="36">
          <cell r="B36" t="str">
            <v>Addition in Building from 27.2.2014 to 24.1.2015</v>
          </cell>
        </row>
        <row r="37">
          <cell r="B37"/>
          <cell r="C37"/>
        </row>
        <row r="38">
          <cell r="B38" t="str">
            <v>New Shed ( on LPG yard ) Metal Sheets (Floor Design   T per Sq Mtr ) ( 164.6 x 64.6 ) + ( 40 x 12 x 2 )</v>
          </cell>
          <cell r="C38" t="str">
            <v>Shed</v>
          </cell>
        </row>
        <row r="39">
          <cell r="B39" t="str">
            <v>New Shed ( on LPG yard ) PARCHATTI   ( 164.6 x 64.6 )  Steel Structure</v>
          </cell>
          <cell r="C39" t="str">
            <v>MEZZ</v>
          </cell>
        </row>
        <row r="40">
          <cell r="B40" t="str">
            <v xml:space="preserve">Forklift Shed </v>
          </cell>
          <cell r="C40" t="str">
            <v>Shed</v>
          </cell>
        </row>
        <row r="41">
          <cell r="B41" t="str">
            <v xml:space="preserve">Amonia Plant ( 40 X 12 ) </v>
          </cell>
          <cell r="C41" t="str">
            <v>RCC</v>
          </cell>
        </row>
        <row r="42">
          <cell r="B42" t="str">
            <v>Sewer Line  1100 RFT</v>
          </cell>
          <cell r="C42" t="str">
            <v>Pipe line</v>
          </cell>
        </row>
        <row r="43">
          <cell r="B43" t="str">
            <v>Addition in Admin Block ( 50 X 50 ) Structure only</v>
          </cell>
          <cell r="C43" t="str">
            <v>RCC</v>
          </cell>
        </row>
        <row r="44">
          <cell r="B44" t="str">
            <v xml:space="preserve">Interior work  in Admin Block ( 50 x 50 ) </v>
          </cell>
          <cell r="C44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48"/>
  <sheetViews>
    <sheetView topLeftCell="B1" zoomScale="70" zoomScaleNormal="70" workbookViewId="0">
      <selection activeCell="D8" sqref="D8"/>
    </sheetView>
  </sheetViews>
  <sheetFormatPr defaultRowHeight="15" x14ac:dyDescent="0.25"/>
  <cols>
    <col min="2" max="2" width="6.85546875" customWidth="1"/>
    <col min="3" max="3" width="117.28515625" hidden="1" customWidth="1"/>
    <col min="4" max="4" width="117.28515625" bestFit="1" customWidth="1"/>
    <col min="5" max="5" width="16.28515625" customWidth="1"/>
    <col min="6" max="6" width="30.7109375" bestFit="1" customWidth="1"/>
    <col min="7" max="8" width="15" bestFit="1" customWidth="1"/>
    <col min="9" max="9" width="6.85546875" customWidth="1"/>
    <col min="10" max="10" width="32.85546875" bestFit="1" customWidth="1"/>
    <col min="11" max="11" width="10.28515625" customWidth="1"/>
  </cols>
  <sheetData>
    <row r="3" spans="2:11" ht="30" x14ac:dyDescent="0.25">
      <c r="B3" s="10" t="s">
        <v>31</v>
      </c>
      <c r="C3" s="10" t="s">
        <v>1</v>
      </c>
      <c r="D3" s="10" t="s">
        <v>10</v>
      </c>
      <c r="E3" s="10" t="s">
        <v>4</v>
      </c>
      <c r="F3" s="11" t="s">
        <v>22</v>
      </c>
      <c r="G3" s="11" t="s">
        <v>15</v>
      </c>
      <c r="H3" s="11" t="s">
        <v>16</v>
      </c>
      <c r="I3" s="11" t="s">
        <v>17</v>
      </c>
      <c r="J3" s="11" t="s">
        <v>2</v>
      </c>
      <c r="K3" s="11" t="s">
        <v>3</v>
      </c>
    </row>
    <row r="4" spans="2:11" ht="18.75" x14ac:dyDescent="0.3">
      <c r="B4" s="9">
        <v>1</v>
      </c>
      <c r="C4" s="20"/>
      <c r="D4" s="23" t="s">
        <v>53</v>
      </c>
      <c r="E4" s="2" t="str">
        <f>VLOOKUP(D4,[1]final!$B$4:$C$44,2,FALSE)</f>
        <v>Shed</v>
      </c>
      <c r="F4" s="2" t="s">
        <v>91</v>
      </c>
      <c r="G4" s="30">
        <f>H4/10.7639</f>
        <v>6521.799719432548</v>
      </c>
      <c r="H4" s="30">
        <v>70200</v>
      </c>
      <c r="I4" s="28" t="s">
        <v>93</v>
      </c>
      <c r="J4" s="28">
        <v>1996</v>
      </c>
      <c r="K4" s="2">
        <v>2022</v>
      </c>
    </row>
    <row r="5" spans="2:11" ht="18.75" x14ac:dyDescent="0.3">
      <c r="B5" s="9">
        <v>2</v>
      </c>
      <c r="C5" s="20"/>
      <c r="D5" s="23" t="s">
        <v>54</v>
      </c>
      <c r="E5" s="2" t="str">
        <f>VLOOKUP(D5,[1]final!$B$4:$C$44,2,FALSE)</f>
        <v>Shed</v>
      </c>
      <c r="F5" s="2" t="s">
        <v>91</v>
      </c>
      <c r="G5" s="30">
        <f t="shared" ref="G5:G45" si="0">H5/10.7639</f>
        <v>2036.7153169390278</v>
      </c>
      <c r="H5" s="30">
        <v>21923</v>
      </c>
      <c r="I5" s="28" t="s">
        <v>93</v>
      </c>
      <c r="J5" s="28">
        <v>2000</v>
      </c>
      <c r="K5" s="2">
        <v>2022</v>
      </c>
    </row>
    <row r="6" spans="2:11" ht="18.75" x14ac:dyDescent="0.3">
      <c r="B6" s="9">
        <v>3</v>
      </c>
      <c r="C6" s="20"/>
      <c r="D6" s="23" t="s">
        <v>55</v>
      </c>
      <c r="E6" s="2" t="str">
        <f>VLOOKUP(D6,[1]final!$B$4:$C$44,2,FALSE)</f>
        <v>RCC</v>
      </c>
      <c r="F6" s="2" t="s">
        <v>91</v>
      </c>
      <c r="G6" s="30">
        <f t="shared" si="0"/>
        <v>260.12876373805034</v>
      </c>
      <c r="H6" s="30">
        <v>2800</v>
      </c>
      <c r="I6" s="28" t="s">
        <v>94</v>
      </c>
      <c r="J6" s="28" t="s">
        <v>101</v>
      </c>
      <c r="K6" s="2">
        <v>2022</v>
      </c>
    </row>
    <row r="7" spans="2:11" ht="18.75" x14ac:dyDescent="0.3">
      <c r="B7" s="9">
        <v>4</v>
      </c>
      <c r="C7" s="20"/>
      <c r="D7" s="23" t="s">
        <v>56</v>
      </c>
      <c r="E7" s="2" t="str">
        <f>VLOOKUP(D7,[1]final!$B$4:$C$44,2,FALSE)</f>
        <v>Shed</v>
      </c>
      <c r="F7" s="2" t="s">
        <v>91</v>
      </c>
      <c r="G7" s="30">
        <f t="shared" si="0"/>
        <v>12.123858452791275</v>
      </c>
      <c r="H7" s="30">
        <v>130.5</v>
      </c>
      <c r="I7" s="28" t="s">
        <v>95</v>
      </c>
      <c r="J7" s="28">
        <v>2000</v>
      </c>
      <c r="K7" s="2">
        <v>2022</v>
      </c>
    </row>
    <row r="8" spans="2:11" ht="18.75" x14ac:dyDescent="0.3">
      <c r="B8" s="9">
        <v>5</v>
      </c>
      <c r="C8" s="20"/>
      <c r="D8" s="23" t="s">
        <v>57</v>
      </c>
      <c r="E8" s="2" t="str">
        <f>VLOOKUP(D8,[1]final!$B$4:$C$44,2,FALSE)</f>
        <v>RCC</v>
      </c>
      <c r="F8" s="2" t="s">
        <v>91</v>
      </c>
      <c r="G8" s="30">
        <f t="shared" si="0"/>
        <v>41.80640845790095</v>
      </c>
      <c r="H8" s="30">
        <v>450</v>
      </c>
      <c r="I8" s="28" t="s">
        <v>96</v>
      </c>
      <c r="J8" s="28">
        <v>2014</v>
      </c>
      <c r="K8" s="2">
        <v>2022</v>
      </c>
    </row>
    <row r="9" spans="2:11" ht="18.75" x14ac:dyDescent="0.3">
      <c r="B9" s="9">
        <v>6</v>
      </c>
      <c r="C9" s="20"/>
      <c r="D9" s="23" t="s">
        <v>58</v>
      </c>
      <c r="E9" s="2" t="str">
        <f>VLOOKUP(D9,[1]final!$B$4:$C$44,2,FALSE)</f>
        <v>RCC</v>
      </c>
      <c r="F9" s="2" t="s">
        <v>91</v>
      </c>
      <c r="G9" s="30">
        <f t="shared" si="0"/>
        <v>18.284264996887746</v>
      </c>
      <c r="H9" s="30">
        <v>196.81</v>
      </c>
      <c r="I9" s="28" t="s">
        <v>95</v>
      </c>
      <c r="J9" s="28">
        <v>2011</v>
      </c>
      <c r="K9" s="2">
        <v>2022</v>
      </c>
    </row>
    <row r="10" spans="2:11" ht="18.75" x14ac:dyDescent="0.3">
      <c r="B10" s="9">
        <v>7</v>
      </c>
      <c r="C10" s="20"/>
      <c r="D10" s="23" t="s">
        <v>59</v>
      </c>
      <c r="E10" s="2" t="str">
        <f>VLOOKUP(D10,[1]final!$B$4:$C$44,2,FALSE)</f>
        <v>RCC</v>
      </c>
      <c r="F10" s="2" t="s">
        <v>91</v>
      </c>
      <c r="G10" s="30">
        <f t="shared" si="0"/>
        <v>85.076041211828425</v>
      </c>
      <c r="H10" s="30">
        <v>915.75</v>
      </c>
      <c r="I10" s="28" t="s">
        <v>95</v>
      </c>
      <c r="J10" s="28">
        <v>1996</v>
      </c>
      <c r="K10" s="2">
        <v>2022</v>
      </c>
    </row>
    <row r="11" spans="2:11" ht="18.75" x14ac:dyDescent="0.3">
      <c r="B11" s="9">
        <v>8</v>
      </c>
      <c r="C11" s="20"/>
      <c r="D11" s="23" t="s">
        <v>60</v>
      </c>
      <c r="E11" s="2" t="str">
        <f>VLOOKUP(D11,[1]final!$B$4:$C$44,2,FALSE)</f>
        <v>RCC</v>
      </c>
      <c r="F11" s="2" t="s">
        <v>91</v>
      </c>
      <c r="G11" s="30">
        <f t="shared" si="0"/>
        <v>61.803807170263568</v>
      </c>
      <c r="H11" s="30">
        <v>665.25</v>
      </c>
      <c r="I11" s="28" t="s">
        <v>95</v>
      </c>
      <c r="J11" s="28">
        <v>1996</v>
      </c>
      <c r="K11" s="2">
        <v>2022</v>
      </c>
    </row>
    <row r="12" spans="2:11" ht="18.75" x14ac:dyDescent="0.3">
      <c r="B12" s="9">
        <v>9</v>
      </c>
      <c r="C12" s="20"/>
      <c r="D12" s="23" t="s">
        <v>61</v>
      </c>
      <c r="E12" s="2" t="str">
        <f>VLOOKUP(D12,[1]final!$B$4:$C$44,2,FALSE)</f>
        <v>RCC</v>
      </c>
      <c r="F12" s="2" t="s">
        <v>91</v>
      </c>
      <c r="G12" s="30">
        <f t="shared" si="0"/>
        <v>22.296751177547172</v>
      </c>
      <c r="H12" s="30">
        <v>240</v>
      </c>
      <c r="I12" s="28" t="s">
        <v>97</v>
      </c>
      <c r="J12" s="28">
        <v>2000</v>
      </c>
      <c r="K12" s="2">
        <v>2022</v>
      </c>
    </row>
    <row r="13" spans="2:11" ht="18.75" x14ac:dyDescent="0.3">
      <c r="B13" s="9">
        <v>10</v>
      </c>
      <c r="C13" s="20"/>
      <c r="D13" s="23" t="s">
        <v>62</v>
      </c>
      <c r="E13" s="2" t="str">
        <f>VLOOKUP(D13,[1]final!$B$4:$C$44,2,FALSE)</f>
        <v>RCC</v>
      </c>
      <c r="F13" s="2" t="s">
        <v>91</v>
      </c>
      <c r="G13" s="30">
        <f t="shared" si="0"/>
        <v>233.66530718419907</v>
      </c>
      <c r="H13" s="30">
        <v>2515.15</v>
      </c>
      <c r="I13" s="28" t="s">
        <v>98</v>
      </c>
      <c r="J13" s="28">
        <v>2006</v>
      </c>
      <c r="K13" s="2">
        <v>2022</v>
      </c>
    </row>
    <row r="14" spans="2:11" ht="18.75" x14ac:dyDescent="0.3">
      <c r="B14" s="9">
        <v>11</v>
      </c>
      <c r="C14" s="20"/>
      <c r="D14" s="23" t="s">
        <v>63</v>
      </c>
      <c r="E14" s="2" t="str">
        <f>VLOOKUP(D14,[1]final!$B$4:$C$44,2,FALSE)</f>
        <v>RCC</v>
      </c>
      <c r="F14" s="2" t="s">
        <v>91</v>
      </c>
      <c r="G14" s="30">
        <f t="shared" si="0"/>
        <v>264.67451388437274</v>
      </c>
      <c r="H14" s="30">
        <v>2848.93</v>
      </c>
      <c r="I14" s="28" t="s">
        <v>95</v>
      </c>
      <c r="J14" s="28">
        <v>2006</v>
      </c>
      <c r="K14" s="2">
        <v>2022</v>
      </c>
    </row>
    <row r="15" spans="2:11" ht="18.75" x14ac:dyDescent="0.3">
      <c r="B15" s="9">
        <v>12</v>
      </c>
      <c r="C15" s="20"/>
      <c r="D15" s="23" t="s">
        <v>64</v>
      </c>
      <c r="E15" s="2" t="str">
        <f>VLOOKUP(D15,[1]final!$B$4:$C$44,2,FALSE)</f>
        <v>ACC</v>
      </c>
      <c r="F15" s="2" t="s">
        <v>91</v>
      </c>
      <c r="G15" s="30">
        <f t="shared" si="0"/>
        <v>530.19816237609052</v>
      </c>
      <c r="H15" s="30">
        <v>5707</v>
      </c>
      <c r="I15" s="28" t="s">
        <v>96</v>
      </c>
      <c r="J15" s="28">
        <v>2006</v>
      </c>
      <c r="K15" s="2">
        <v>2022</v>
      </c>
    </row>
    <row r="16" spans="2:11" ht="18.75" x14ac:dyDescent="0.3">
      <c r="B16" s="9">
        <v>13</v>
      </c>
      <c r="C16" s="20"/>
      <c r="D16" s="23" t="s">
        <v>65</v>
      </c>
      <c r="E16" s="2" t="str">
        <f>VLOOKUP(D16,[1]final!$B$4:$C$44,2,FALSE)</f>
        <v>RCC</v>
      </c>
      <c r="F16" s="2" t="s">
        <v>91</v>
      </c>
      <c r="G16" s="30">
        <f t="shared" si="0"/>
        <v>429.70484675628722</v>
      </c>
      <c r="H16" s="30">
        <v>4625.3</v>
      </c>
      <c r="I16" s="28" t="s">
        <v>94</v>
      </c>
      <c r="J16" s="28">
        <v>2012</v>
      </c>
      <c r="K16" s="2">
        <v>2022</v>
      </c>
    </row>
    <row r="17" spans="2:11" ht="18.75" x14ac:dyDescent="0.3">
      <c r="B17" s="9">
        <v>14</v>
      </c>
      <c r="C17" s="20"/>
      <c r="D17" s="82" t="s">
        <v>66</v>
      </c>
      <c r="E17" s="83">
        <f>VLOOKUP(D17,[1]final!$B$4:$C$44,2,FALSE)</f>
        <v>0</v>
      </c>
      <c r="F17" s="84"/>
      <c r="G17" s="85">
        <f t="shared" si="0"/>
        <v>0</v>
      </c>
      <c r="H17" s="85"/>
      <c r="I17" s="86"/>
      <c r="J17" s="86"/>
      <c r="K17" s="20"/>
    </row>
    <row r="18" spans="2:11" ht="18.75" x14ac:dyDescent="0.3">
      <c r="B18" s="9">
        <v>15</v>
      </c>
      <c r="C18" s="20"/>
      <c r="D18" s="82" t="s">
        <v>67</v>
      </c>
      <c r="E18" s="83">
        <f>VLOOKUP(D18,[1]final!$B$4:$C$44,2,FALSE)</f>
        <v>0</v>
      </c>
      <c r="F18" s="84"/>
      <c r="G18" s="85">
        <f t="shared" si="0"/>
        <v>0</v>
      </c>
      <c r="H18" s="85"/>
      <c r="I18" s="86"/>
      <c r="J18" s="86"/>
      <c r="K18" s="20"/>
    </row>
    <row r="19" spans="2:11" ht="18.75" x14ac:dyDescent="0.3">
      <c r="B19" s="9">
        <v>16</v>
      </c>
      <c r="C19" s="20"/>
      <c r="D19" s="23" t="s">
        <v>68</v>
      </c>
      <c r="E19" s="2" t="str">
        <f>VLOOKUP(D19,[1]final!$B$4:$C$44,2,FALSE)</f>
        <v>Shed</v>
      </c>
      <c r="F19" s="2" t="s">
        <v>91</v>
      </c>
      <c r="G19" s="30">
        <f t="shared" si="0"/>
        <v>198.65754977285184</v>
      </c>
      <c r="H19" s="30">
        <v>2138.33</v>
      </c>
      <c r="I19" s="28" t="s">
        <v>96</v>
      </c>
      <c r="J19" s="28">
        <v>2006</v>
      </c>
      <c r="K19" s="2">
        <v>2022</v>
      </c>
    </row>
    <row r="20" spans="2:11" ht="18.75" x14ac:dyDescent="0.3">
      <c r="B20" s="9">
        <v>17</v>
      </c>
      <c r="C20" s="20"/>
      <c r="D20" s="23" t="s">
        <v>69</v>
      </c>
      <c r="E20" s="2" t="str">
        <f>VLOOKUP(D20,[1]final!$B$4:$C$44,2,FALSE)</f>
        <v>Shed</v>
      </c>
      <c r="F20" s="2" t="s">
        <v>91</v>
      </c>
      <c r="G20" s="30">
        <f t="shared" si="0"/>
        <v>2786.1592917065377</v>
      </c>
      <c r="H20" s="30">
        <v>29989.94</v>
      </c>
      <c r="I20" s="28" t="s">
        <v>93</v>
      </c>
      <c r="J20" s="28">
        <v>2008</v>
      </c>
      <c r="K20" s="2">
        <v>2022</v>
      </c>
    </row>
    <row r="21" spans="2:11" ht="18.75" x14ac:dyDescent="0.3">
      <c r="B21" s="9">
        <v>18</v>
      </c>
      <c r="C21" s="20"/>
      <c r="D21" s="23" t="s">
        <v>70</v>
      </c>
      <c r="E21" s="2" t="str">
        <f>VLOOKUP(D21,[1]final!$B$4:$C$44,2,FALSE)</f>
        <v>RCC</v>
      </c>
      <c r="F21" s="2" t="s">
        <v>91</v>
      </c>
      <c r="G21" s="30">
        <f t="shared" si="0"/>
        <v>330.7351424669497</v>
      </c>
      <c r="H21" s="30">
        <v>3560</v>
      </c>
      <c r="I21" s="28" t="s">
        <v>95</v>
      </c>
      <c r="J21" s="28">
        <v>2010</v>
      </c>
      <c r="K21" s="2">
        <v>2022</v>
      </c>
    </row>
    <row r="22" spans="2:11" ht="18.75" x14ac:dyDescent="0.3">
      <c r="B22" s="9">
        <v>19</v>
      </c>
      <c r="C22" s="20"/>
      <c r="D22" s="23" t="s">
        <v>71</v>
      </c>
      <c r="E22" s="2" t="str">
        <f>VLOOKUP(D22,[1]final!$B$4:$C$44,2,FALSE)</f>
        <v>Shed</v>
      </c>
      <c r="F22" s="2" t="s">
        <v>91</v>
      </c>
      <c r="G22" s="30">
        <f t="shared" si="0"/>
        <v>3166.1386672116987</v>
      </c>
      <c r="H22" s="30">
        <v>34080</v>
      </c>
      <c r="I22" s="28" t="s">
        <v>99</v>
      </c>
      <c r="J22" s="28">
        <v>2009</v>
      </c>
      <c r="K22" s="2">
        <v>2022</v>
      </c>
    </row>
    <row r="23" spans="2:11" ht="18.75" x14ac:dyDescent="0.3">
      <c r="B23" s="9">
        <v>20</v>
      </c>
      <c r="C23" s="20"/>
      <c r="D23" s="23" t="s">
        <v>72</v>
      </c>
      <c r="E23" s="2" t="str">
        <f>VLOOKUP(D23,[1]final!$B$4:$C$44,2,FALSE)</f>
        <v>RCC</v>
      </c>
      <c r="F23" s="2" t="s">
        <v>91</v>
      </c>
      <c r="G23" s="30">
        <f t="shared" si="0"/>
        <v>571.2929328589081</v>
      </c>
      <c r="H23" s="30">
        <v>6149.34</v>
      </c>
      <c r="I23" s="28" t="s">
        <v>99</v>
      </c>
      <c r="J23" s="28">
        <v>2008</v>
      </c>
      <c r="K23" s="2">
        <v>2022</v>
      </c>
    </row>
    <row r="24" spans="2:11" ht="18.75" x14ac:dyDescent="0.3">
      <c r="B24" s="9">
        <v>21</v>
      </c>
      <c r="C24" s="20"/>
      <c r="D24" s="23" t="s">
        <v>73</v>
      </c>
      <c r="E24" s="2">
        <f>VLOOKUP(D24,[1]final!$B$4:$C$44,2,FALSE)</f>
        <v>0</v>
      </c>
      <c r="F24" s="2"/>
      <c r="G24" s="30">
        <f t="shared" si="0"/>
        <v>146.34658441642898</v>
      </c>
      <c r="H24" s="30">
        <v>1575.26</v>
      </c>
      <c r="I24" s="28"/>
      <c r="J24" s="28">
        <v>2008</v>
      </c>
      <c r="K24" s="2">
        <v>2022</v>
      </c>
    </row>
    <row r="25" spans="2:11" ht="18.75" x14ac:dyDescent="0.3">
      <c r="B25" s="9">
        <v>22</v>
      </c>
      <c r="C25" s="20"/>
      <c r="D25" s="23" t="s">
        <v>74</v>
      </c>
      <c r="E25" s="2" t="str">
        <f>VLOOKUP(D25,[1]final!$B$4:$C$44,2,FALSE)</f>
        <v>RCC</v>
      </c>
      <c r="F25" s="2" t="s">
        <v>91</v>
      </c>
      <c r="G25" s="30">
        <f t="shared" si="0"/>
        <v>29.729001570062895</v>
      </c>
      <c r="H25" s="30">
        <v>320</v>
      </c>
      <c r="I25" s="28" t="s">
        <v>95</v>
      </c>
      <c r="J25" s="28">
        <v>2013</v>
      </c>
      <c r="K25" s="2">
        <v>2022</v>
      </c>
    </row>
    <row r="26" spans="2:11" ht="18.75" x14ac:dyDescent="0.3">
      <c r="B26" s="9">
        <v>23</v>
      </c>
      <c r="C26" s="20"/>
      <c r="D26" s="23" t="s">
        <v>75</v>
      </c>
      <c r="E26" s="2">
        <f>VLOOKUP(D26,[1]final!$B$4:$C$44,2,FALSE)</f>
        <v>0</v>
      </c>
      <c r="F26" s="2" t="s">
        <v>91</v>
      </c>
      <c r="G26" s="30"/>
      <c r="H26" s="31" t="s">
        <v>105</v>
      </c>
      <c r="I26" s="28" t="s">
        <v>95</v>
      </c>
      <c r="J26" s="28"/>
      <c r="K26" s="2">
        <v>2022</v>
      </c>
    </row>
    <row r="27" spans="2:11" ht="18.75" x14ac:dyDescent="0.3">
      <c r="B27" s="9"/>
      <c r="C27" s="20"/>
      <c r="D27" s="23" t="s">
        <v>6</v>
      </c>
      <c r="E27" s="2">
        <f>VLOOKUP(D27,[1]final!$B$4:$C$44,2,FALSE)</f>
        <v>0</v>
      </c>
      <c r="F27" s="20"/>
      <c r="G27" s="30">
        <f t="shared" si="0"/>
        <v>17747.336931781232</v>
      </c>
      <c r="H27" s="37">
        <f>SUM(H4:H25)</f>
        <v>191030.56</v>
      </c>
      <c r="I27" s="28"/>
      <c r="J27" s="28" t="s">
        <v>102</v>
      </c>
      <c r="K27" s="20"/>
    </row>
    <row r="28" spans="2:11" ht="18.75" x14ac:dyDescent="0.3">
      <c r="B28" s="9"/>
      <c r="C28" s="20"/>
      <c r="D28" s="26" t="s">
        <v>76</v>
      </c>
      <c r="E28" s="2">
        <f>VLOOKUP(D28,[1]final!$B$4:$C$44,2,FALSE)</f>
        <v>0</v>
      </c>
      <c r="F28" s="20"/>
      <c r="G28" s="30"/>
      <c r="H28" s="30"/>
      <c r="I28" s="28"/>
      <c r="J28" s="28"/>
      <c r="K28" s="20"/>
    </row>
    <row r="29" spans="2:11" ht="18.75" x14ac:dyDescent="0.3">
      <c r="B29" s="9">
        <v>24</v>
      </c>
      <c r="C29" s="20"/>
      <c r="D29" s="23" t="s">
        <v>77</v>
      </c>
      <c r="E29" s="2" t="str">
        <f>VLOOKUP(D29,[1]final!$B$4:$C$44,2,FALSE)</f>
        <v>RCC</v>
      </c>
      <c r="F29" s="2" t="s">
        <v>91</v>
      </c>
      <c r="G29" s="30">
        <f t="shared" si="0"/>
        <v>330.7351424669497</v>
      </c>
      <c r="H29" s="30">
        <v>3560</v>
      </c>
      <c r="I29" s="28" t="s">
        <v>95</v>
      </c>
      <c r="J29" s="28">
        <v>2010</v>
      </c>
      <c r="K29" s="2">
        <v>2022</v>
      </c>
    </row>
    <row r="30" spans="2:11" ht="18.75" x14ac:dyDescent="0.3">
      <c r="B30" s="9">
        <v>25</v>
      </c>
      <c r="C30" s="20"/>
      <c r="D30" s="23" t="s">
        <v>78</v>
      </c>
      <c r="E30" s="2" t="str">
        <f>VLOOKUP(D30,[1]final!$B$4:$C$44,2,FALSE)</f>
        <v>RCC</v>
      </c>
      <c r="F30" s="2" t="s">
        <v>91</v>
      </c>
      <c r="G30" s="30">
        <f t="shared" si="0"/>
        <v>70.954765466048556</v>
      </c>
      <c r="H30" s="30">
        <v>763.75</v>
      </c>
      <c r="I30" s="28" t="s">
        <v>98</v>
      </c>
      <c r="J30" s="28">
        <v>2010</v>
      </c>
      <c r="K30" s="2">
        <v>2022</v>
      </c>
    </row>
    <row r="31" spans="2:11" ht="18.75" x14ac:dyDescent="0.3">
      <c r="B31" s="9">
        <v>26</v>
      </c>
      <c r="C31" s="20"/>
      <c r="D31" s="23" t="s">
        <v>79</v>
      </c>
      <c r="E31" s="2" t="str">
        <f>VLOOKUP(D31,[1]final!$B$4:$C$44,2,FALSE)</f>
        <v>RCC</v>
      </c>
      <c r="F31" s="2" t="s">
        <v>91</v>
      </c>
      <c r="G31" s="30">
        <f t="shared" si="0"/>
        <v>28.962550748334714</v>
      </c>
      <c r="H31" s="30">
        <v>311.75</v>
      </c>
      <c r="I31" s="28" t="s">
        <v>95</v>
      </c>
      <c r="J31" s="28">
        <v>1996</v>
      </c>
      <c r="K31" s="2">
        <v>2022</v>
      </c>
    </row>
    <row r="32" spans="2:11" ht="18.75" x14ac:dyDescent="0.3">
      <c r="B32" s="9">
        <v>27</v>
      </c>
      <c r="C32" s="20"/>
      <c r="D32" s="23" t="s">
        <v>80</v>
      </c>
      <c r="E32" s="2" t="str">
        <f>VLOOKUP(D32,[1]final!$B$4:$C$44,2,FALSE)</f>
        <v>RCC</v>
      </c>
      <c r="F32" s="2" t="s">
        <v>91</v>
      </c>
      <c r="G32" s="30">
        <f t="shared" si="0"/>
        <v>57.925101496669427</v>
      </c>
      <c r="H32" s="30">
        <v>623.5</v>
      </c>
      <c r="I32" s="28" t="s">
        <v>95</v>
      </c>
      <c r="J32" s="28">
        <v>1996</v>
      </c>
      <c r="K32" s="2">
        <v>2022</v>
      </c>
    </row>
    <row r="33" spans="2:11" ht="18.75" x14ac:dyDescent="0.3">
      <c r="B33" s="9">
        <v>28</v>
      </c>
      <c r="C33" s="20"/>
      <c r="D33" s="23" t="s">
        <v>81</v>
      </c>
      <c r="E33" s="2" t="str">
        <f>VLOOKUP(D33,[1]final!$B$4:$C$44,2,FALSE)</f>
        <v>RCC</v>
      </c>
      <c r="F33" s="2" t="s">
        <v>91</v>
      </c>
      <c r="G33" s="30">
        <f t="shared" si="0"/>
        <v>178.03026783972354</v>
      </c>
      <c r="H33" s="30">
        <v>1916.3</v>
      </c>
      <c r="I33" s="28" t="s">
        <v>94</v>
      </c>
      <c r="J33" s="28">
        <v>2012</v>
      </c>
      <c r="K33" s="2">
        <v>2022</v>
      </c>
    </row>
    <row r="34" spans="2:11" ht="18.75" x14ac:dyDescent="0.3">
      <c r="B34" s="9">
        <v>29</v>
      </c>
      <c r="C34" s="20"/>
      <c r="D34" s="23" t="s">
        <v>82</v>
      </c>
      <c r="E34" s="2" t="str">
        <f>VLOOKUP(D34,[1]final!$B$4:$C$44,2,FALSE)</f>
        <v>RCC</v>
      </c>
      <c r="F34" s="2" t="s">
        <v>91</v>
      </c>
      <c r="G34" s="30">
        <f t="shared" si="0"/>
        <v>1212.7574577987532</v>
      </c>
      <c r="H34" s="30">
        <v>13054</v>
      </c>
      <c r="I34" s="28" t="s">
        <v>95</v>
      </c>
      <c r="J34" s="28">
        <v>1996</v>
      </c>
      <c r="K34" s="2">
        <v>2022</v>
      </c>
    </row>
    <row r="35" spans="2:11" ht="18.75" x14ac:dyDescent="0.3">
      <c r="B35" s="9"/>
      <c r="C35" s="23"/>
      <c r="D35" s="20"/>
      <c r="E35" s="2"/>
      <c r="F35" s="20"/>
      <c r="G35" s="30">
        <f t="shared" si="0"/>
        <v>1879.3652858164792</v>
      </c>
      <c r="H35" s="38">
        <f>SUM(H29:H34)</f>
        <v>20229.3</v>
      </c>
      <c r="I35" s="28"/>
      <c r="J35" s="23" t="s">
        <v>103</v>
      </c>
      <c r="K35" s="20"/>
    </row>
    <row r="36" spans="2:11" ht="18.75" x14ac:dyDescent="0.3">
      <c r="B36" s="9"/>
      <c r="C36" s="20"/>
      <c r="D36" s="26" t="s">
        <v>83</v>
      </c>
      <c r="E36" s="2">
        <f>VLOOKUP(D36,[1]final!$B$4:$C$44,2,FALSE)</f>
        <v>0</v>
      </c>
      <c r="F36" s="20"/>
      <c r="G36" s="30"/>
      <c r="H36" s="38"/>
      <c r="I36" s="28"/>
      <c r="J36" s="23"/>
      <c r="K36" s="20"/>
    </row>
    <row r="37" spans="2:11" ht="18.75" x14ac:dyDescent="0.3">
      <c r="B37" s="9"/>
      <c r="C37" s="20"/>
      <c r="D37" s="23"/>
      <c r="E37" s="2"/>
      <c r="F37" s="20"/>
      <c r="G37" s="30"/>
      <c r="H37" s="30"/>
      <c r="I37" s="28"/>
      <c r="J37" s="28"/>
      <c r="K37" s="20"/>
    </row>
    <row r="38" spans="2:11" ht="18.75" x14ac:dyDescent="0.3">
      <c r="B38" s="9">
        <v>30</v>
      </c>
      <c r="C38" s="20"/>
      <c r="D38" s="27" t="s">
        <v>84</v>
      </c>
      <c r="E38" s="2" t="str">
        <f>VLOOKUP(D38,[1]final!$B$4:$C$44,2,FALSE)</f>
        <v>Shed</v>
      </c>
      <c r="F38" s="2" t="s">
        <v>91</v>
      </c>
      <c r="G38" s="30">
        <f t="shared" si="0"/>
        <v>1074.8892130175866</v>
      </c>
      <c r="H38" s="34">
        <v>11570</v>
      </c>
      <c r="I38" s="35" t="s">
        <v>93</v>
      </c>
      <c r="J38" s="35" t="s">
        <v>104</v>
      </c>
      <c r="K38" s="2">
        <v>2022</v>
      </c>
    </row>
    <row r="39" spans="2:11" ht="18.75" x14ac:dyDescent="0.3">
      <c r="B39" s="9">
        <v>31</v>
      </c>
      <c r="C39" s="20"/>
      <c r="D39" s="27" t="s">
        <v>85</v>
      </c>
      <c r="E39" s="2" t="str">
        <f>VLOOKUP(D39,[1]final!$B$4:$C$44,2,FALSE)</f>
        <v>MEZZ</v>
      </c>
      <c r="F39" s="2" t="s">
        <v>91</v>
      </c>
      <c r="G39" s="30">
        <f t="shared" si="0"/>
        <v>985.70220830739788</v>
      </c>
      <c r="H39" s="34">
        <v>10610</v>
      </c>
      <c r="I39" s="35" t="s">
        <v>100</v>
      </c>
      <c r="J39" s="35" t="s">
        <v>104</v>
      </c>
      <c r="K39" s="2">
        <v>2022</v>
      </c>
    </row>
    <row r="40" spans="2:11" ht="18.75" x14ac:dyDescent="0.3">
      <c r="B40" s="9">
        <v>32</v>
      </c>
      <c r="C40" s="20"/>
      <c r="D40" s="27" t="s">
        <v>86</v>
      </c>
      <c r="E40" s="2" t="str">
        <f>VLOOKUP(D40,[1]final!$B$4:$C$44,2,FALSE)</f>
        <v>Shed</v>
      </c>
      <c r="F40" s="2" t="s">
        <v>91</v>
      </c>
      <c r="G40" s="30">
        <f t="shared" si="0"/>
        <v>120.77406887838052</v>
      </c>
      <c r="H40" s="34">
        <v>1300</v>
      </c>
      <c r="I40" s="35" t="s">
        <v>94</v>
      </c>
      <c r="J40" s="35">
        <v>2014</v>
      </c>
      <c r="K40" s="2">
        <v>2022</v>
      </c>
    </row>
    <row r="41" spans="2:11" ht="18.75" x14ac:dyDescent="0.3">
      <c r="B41" s="9">
        <v>33</v>
      </c>
      <c r="C41" s="20"/>
      <c r="D41" s="27" t="s">
        <v>87</v>
      </c>
      <c r="E41" s="2" t="str">
        <f>VLOOKUP(D41,[1]final!$B$4:$C$44,2,FALSE)</f>
        <v>RCC</v>
      </c>
      <c r="F41" s="2" t="s">
        <v>91</v>
      </c>
      <c r="G41" s="30">
        <f t="shared" si="0"/>
        <v>44.593502355094344</v>
      </c>
      <c r="H41" s="34">
        <v>480</v>
      </c>
      <c r="I41" s="35" t="s">
        <v>100</v>
      </c>
      <c r="J41" s="35">
        <v>2014</v>
      </c>
      <c r="K41" s="2">
        <v>2022</v>
      </c>
    </row>
    <row r="42" spans="2:11" ht="18.75" x14ac:dyDescent="0.3">
      <c r="B42" s="9">
        <v>34</v>
      </c>
      <c r="C42" s="20"/>
      <c r="D42" s="79" t="s">
        <v>88</v>
      </c>
      <c r="E42" s="2" t="str">
        <f>VLOOKUP(D42,[1]final!$B$4:$C$44,2,FALSE)</f>
        <v>Pipe line</v>
      </c>
      <c r="F42" s="2"/>
      <c r="G42" s="30">
        <f t="shared" si="0"/>
        <v>0</v>
      </c>
      <c r="H42" s="34"/>
      <c r="I42" s="35"/>
      <c r="J42" s="35">
        <v>2014</v>
      </c>
      <c r="K42" s="2">
        <v>2022</v>
      </c>
    </row>
    <row r="43" spans="2:11" ht="18.75" x14ac:dyDescent="0.3">
      <c r="B43" s="9">
        <v>35</v>
      </c>
      <c r="C43" s="20"/>
      <c r="D43" s="27" t="s">
        <v>89</v>
      </c>
      <c r="E43" s="2" t="str">
        <f>VLOOKUP(D43,[1]final!$B$4:$C$44,2,FALSE)</f>
        <v>RCC</v>
      </c>
      <c r="F43" s="2" t="s">
        <v>91</v>
      </c>
      <c r="G43" s="30">
        <f t="shared" si="0"/>
        <v>232.25782476611639</v>
      </c>
      <c r="H43" s="34">
        <v>2500</v>
      </c>
      <c r="I43" s="35" t="s">
        <v>95</v>
      </c>
      <c r="J43" s="35">
        <v>2014</v>
      </c>
      <c r="K43" s="2">
        <v>2022</v>
      </c>
    </row>
    <row r="44" spans="2:11" ht="18.75" x14ac:dyDescent="0.3">
      <c r="B44" s="9">
        <v>36</v>
      </c>
      <c r="C44" s="20"/>
      <c r="D44" s="80" t="s">
        <v>90</v>
      </c>
      <c r="E44" s="2" t="s">
        <v>92</v>
      </c>
      <c r="F44" s="2"/>
      <c r="G44" s="30">
        <f t="shared" si="0"/>
        <v>232.25782476611639</v>
      </c>
      <c r="H44" s="34">
        <v>2500</v>
      </c>
      <c r="I44" s="35"/>
      <c r="J44" s="35">
        <v>2014</v>
      </c>
      <c r="K44" s="2">
        <v>2022</v>
      </c>
    </row>
    <row r="45" spans="2:11" ht="18.75" x14ac:dyDescent="0.3">
      <c r="G45" s="36">
        <f t="shared" si="0"/>
        <v>2690.4746420906922</v>
      </c>
      <c r="H45" s="32">
        <f>SUM(H38:H44)</f>
        <v>28960</v>
      </c>
      <c r="J45" s="25"/>
    </row>
    <row r="46" spans="2:11" ht="18.75" x14ac:dyDescent="0.3">
      <c r="H46" s="33"/>
      <c r="J46" s="29"/>
    </row>
    <row r="47" spans="2:11" ht="18.75" x14ac:dyDescent="0.3">
      <c r="H47" s="33"/>
      <c r="J47" s="29"/>
    </row>
    <row r="48" spans="2:11" ht="18.75" x14ac:dyDescent="0.3">
      <c r="H48" s="32"/>
      <c r="J48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Z49"/>
  <sheetViews>
    <sheetView tabSelected="1" topLeftCell="A19" zoomScale="40" zoomScaleNormal="40" workbookViewId="0">
      <selection activeCell="W40" sqref="W40"/>
    </sheetView>
  </sheetViews>
  <sheetFormatPr defaultRowHeight="15" x14ac:dyDescent="0.25"/>
  <cols>
    <col min="2" max="2" width="6.140625" style="18" customWidth="1"/>
    <col min="3" max="3" width="11.85546875" style="19" customWidth="1"/>
    <col min="4" max="4" width="70.28515625" style="18" bestFit="1" customWidth="1"/>
    <col min="5" max="5" width="30.7109375" style="18" customWidth="1"/>
    <col min="6" max="6" width="16.28515625" customWidth="1"/>
    <col min="7" max="7" width="10.85546875" bestFit="1" customWidth="1"/>
    <col min="8" max="8" width="15.7109375" hidden="1" customWidth="1"/>
    <col min="9" max="9" width="19.140625" bestFit="1" customWidth="1"/>
    <col min="10" max="10" width="6.85546875" customWidth="1"/>
    <col min="11" max="11" width="15.85546875" customWidth="1"/>
    <col min="12" max="12" width="8.7109375" hidden="1" customWidth="1"/>
    <col min="13" max="13" width="14.140625" customWidth="1"/>
    <col min="14" max="14" width="13.42578125" customWidth="1"/>
    <col min="15" max="15" width="7.7109375" customWidth="1"/>
    <col min="16" max="16" width="10.28515625" customWidth="1"/>
    <col min="17" max="17" width="14.42578125" customWidth="1"/>
    <col min="18" max="18" width="14.42578125" hidden="1" customWidth="1"/>
    <col min="19" max="19" width="20.85546875" customWidth="1"/>
    <col min="20" max="20" width="16.28515625" hidden="1" customWidth="1"/>
    <col min="21" max="21" width="15.7109375" customWidth="1"/>
    <col min="22" max="22" width="12.7109375" customWidth="1"/>
    <col min="23" max="23" width="22" bestFit="1" customWidth="1"/>
    <col min="24" max="24" width="20.140625" customWidth="1"/>
    <col min="25" max="25" width="21.140625" customWidth="1"/>
    <col min="26" max="26" width="14.28515625" bestFit="1" customWidth="1"/>
  </cols>
  <sheetData>
    <row r="2" spans="2:26" ht="15.75" x14ac:dyDescent="0.25">
      <c r="B2" s="40" t="s">
        <v>108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2:26" s="12" customFormat="1" ht="60" x14ac:dyDescent="0.25">
      <c r="B3" s="11" t="s">
        <v>0</v>
      </c>
      <c r="C3" s="11" t="s">
        <v>1</v>
      </c>
      <c r="D3" s="11" t="s">
        <v>10</v>
      </c>
      <c r="E3" s="11" t="s">
        <v>4</v>
      </c>
      <c r="F3" s="11" t="s">
        <v>22</v>
      </c>
      <c r="G3" s="11" t="s">
        <v>39</v>
      </c>
      <c r="H3" s="11" t="s">
        <v>15</v>
      </c>
      <c r="I3" s="11" t="s">
        <v>16</v>
      </c>
      <c r="J3" s="11" t="s">
        <v>17</v>
      </c>
      <c r="K3" s="11" t="s">
        <v>2</v>
      </c>
      <c r="L3" s="11" t="s">
        <v>3</v>
      </c>
      <c r="M3" s="11" t="s">
        <v>18</v>
      </c>
      <c r="N3" s="11" t="s">
        <v>19</v>
      </c>
      <c r="O3" s="11" t="s">
        <v>5</v>
      </c>
      <c r="P3" s="11" t="s">
        <v>7</v>
      </c>
      <c r="Q3" s="11" t="s">
        <v>20</v>
      </c>
      <c r="R3" s="11" t="s">
        <v>21</v>
      </c>
      <c r="S3" s="11" t="s">
        <v>11</v>
      </c>
      <c r="T3" s="11" t="s">
        <v>40</v>
      </c>
      <c r="U3" s="11" t="s">
        <v>8</v>
      </c>
      <c r="V3" s="11" t="s">
        <v>14</v>
      </c>
      <c r="W3" s="11" t="s">
        <v>9</v>
      </c>
      <c r="X3" s="11" t="s">
        <v>49</v>
      </c>
      <c r="Y3" s="11" t="s">
        <v>50</v>
      </c>
    </row>
    <row r="4" spans="2:26" ht="42.75" x14ac:dyDescent="0.25">
      <c r="B4" s="41">
        <v>1</v>
      </c>
      <c r="C4" s="42" t="s">
        <v>42</v>
      </c>
      <c r="D4" s="43" t="s">
        <v>53</v>
      </c>
      <c r="E4" s="44" t="s">
        <v>45</v>
      </c>
      <c r="F4" s="42" t="s">
        <v>44</v>
      </c>
      <c r="G4" s="42" t="s">
        <v>41</v>
      </c>
      <c r="H4" s="45">
        <f>I4/10.7639</f>
        <v>6521.799719432548</v>
      </c>
      <c r="I4" s="45">
        <v>70200</v>
      </c>
      <c r="J4" s="46" t="s">
        <v>93</v>
      </c>
      <c r="K4" s="46">
        <v>1996</v>
      </c>
      <c r="L4" s="47">
        <v>2022</v>
      </c>
      <c r="M4" s="47">
        <f>L4-K4</f>
        <v>26</v>
      </c>
      <c r="N4" s="47">
        <v>40</v>
      </c>
      <c r="O4" s="48">
        <v>0.05</v>
      </c>
      <c r="P4" s="49">
        <f>(1-O4)/N4</f>
        <v>2.375E-2</v>
      </c>
      <c r="Q4" s="50">
        <v>1500</v>
      </c>
      <c r="R4" s="51">
        <f>Q4*10.7639</f>
        <v>16145.849999999999</v>
      </c>
      <c r="S4" s="51">
        <f>R4*H4</f>
        <v>105300000</v>
      </c>
      <c r="T4" s="51">
        <f>S4*P4*M4</f>
        <v>65022750</v>
      </c>
      <c r="U4" s="51">
        <f t="shared" ref="U4" si="0">MAX(S4-T4,0)</f>
        <v>40277250</v>
      </c>
      <c r="V4" s="52">
        <v>0.1</v>
      </c>
      <c r="W4" s="51">
        <f>IF(U4&gt;O4*S4,U4*(1-V4),S4*O4)</f>
        <v>36249525</v>
      </c>
      <c r="X4" s="50">
        <v>0</v>
      </c>
      <c r="Y4" s="51">
        <f>X4*H4</f>
        <v>0</v>
      </c>
      <c r="Z4" s="1"/>
    </row>
    <row r="5" spans="2:26" ht="42.75" x14ac:dyDescent="0.25">
      <c r="B5" s="41">
        <v>2</v>
      </c>
      <c r="C5" s="42" t="s">
        <v>42</v>
      </c>
      <c r="D5" s="43" t="s">
        <v>54</v>
      </c>
      <c r="E5" s="44" t="s">
        <v>45</v>
      </c>
      <c r="F5" s="42" t="s">
        <v>44</v>
      </c>
      <c r="G5" s="42" t="s">
        <v>41</v>
      </c>
      <c r="H5" s="45">
        <f t="shared" ref="H5:H38" si="1">I5/10.7639</f>
        <v>2036.7153169390278</v>
      </c>
      <c r="I5" s="45">
        <v>21923</v>
      </c>
      <c r="J5" s="46" t="s">
        <v>93</v>
      </c>
      <c r="K5" s="46">
        <v>2000</v>
      </c>
      <c r="L5" s="47">
        <v>2022</v>
      </c>
      <c r="M5" s="47">
        <f t="shared" ref="M5:M38" si="2">L5-K5</f>
        <v>22</v>
      </c>
      <c r="N5" s="47">
        <v>40</v>
      </c>
      <c r="O5" s="48">
        <v>0.05</v>
      </c>
      <c r="P5" s="49">
        <f t="shared" ref="P5:P7" si="3">(1-O5)/N5</f>
        <v>2.375E-2</v>
      </c>
      <c r="Q5" s="50">
        <v>1500</v>
      </c>
      <c r="R5" s="51">
        <f t="shared" ref="R5:R7" si="4">Q5*10.7639</f>
        <v>16145.849999999999</v>
      </c>
      <c r="S5" s="51">
        <f t="shared" ref="S5:S6" si="5">R5*H5</f>
        <v>32884500</v>
      </c>
      <c r="T5" s="51">
        <f t="shared" ref="T5:T6" si="6">S5*P5*M5</f>
        <v>17182151.25</v>
      </c>
      <c r="U5" s="51">
        <f t="shared" ref="U5:U6" si="7">MAX(S5-T5,0)</f>
        <v>15702348.75</v>
      </c>
      <c r="V5" s="52">
        <v>0.1</v>
      </c>
      <c r="W5" s="51">
        <f t="shared" ref="W5:W6" si="8">IF(U5&gt;O5*S5,U5*(1-V5),S5*O5)</f>
        <v>14132113.875</v>
      </c>
      <c r="X5" s="50">
        <v>0</v>
      </c>
      <c r="Y5" s="51">
        <f t="shared" ref="Y5:Y6" si="9">X5*H5</f>
        <v>0</v>
      </c>
      <c r="Z5" s="1"/>
    </row>
    <row r="6" spans="2:26" ht="42.75" x14ac:dyDescent="0.25">
      <c r="B6" s="41">
        <v>3</v>
      </c>
      <c r="C6" s="42" t="s">
        <v>42</v>
      </c>
      <c r="D6" s="43" t="s">
        <v>55</v>
      </c>
      <c r="E6" s="44" t="s">
        <v>43</v>
      </c>
      <c r="F6" s="42" t="s">
        <v>44</v>
      </c>
      <c r="G6" s="42" t="s">
        <v>41</v>
      </c>
      <c r="H6" s="45">
        <f t="shared" si="1"/>
        <v>260.12876373805034</v>
      </c>
      <c r="I6" s="45">
        <v>2800</v>
      </c>
      <c r="J6" s="46" t="s">
        <v>94</v>
      </c>
      <c r="K6" s="46">
        <v>2014</v>
      </c>
      <c r="L6" s="47">
        <v>2022</v>
      </c>
      <c r="M6" s="47">
        <f t="shared" si="2"/>
        <v>8</v>
      </c>
      <c r="N6" s="47">
        <v>65</v>
      </c>
      <c r="O6" s="48">
        <v>0.05</v>
      </c>
      <c r="P6" s="49">
        <f t="shared" si="3"/>
        <v>1.4615384615384615E-2</v>
      </c>
      <c r="Q6" s="50">
        <v>600</v>
      </c>
      <c r="R6" s="51">
        <f t="shared" si="4"/>
        <v>6458.34</v>
      </c>
      <c r="S6" s="51">
        <f t="shared" si="5"/>
        <v>1680000</v>
      </c>
      <c r="T6" s="51">
        <f t="shared" si="6"/>
        <v>196430.76923076922</v>
      </c>
      <c r="U6" s="51">
        <f t="shared" si="7"/>
        <v>1483569.2307692308</v>
      </c>
      <c r="V6" s="52">
        <v>0.05</v>
      </c>
      <c r="W6" s="51">
        <f t="shared" si="8"/>
        <v>1409390.7692307692</v>
      </c>
      <c r="X6" s="50">
        <f>900*10.7639</f>
        <v>9687.51</v>
      </c>
      <c r="Y6" s="51">
        <f t="shared" si="9"/>
        <v>2520000</v>
      </c>
      <c r="Z6" s="1"/>
    </row>
    <row r="7" spans="2:26" ht="42.75" x14ac:dyDescent="0.25">
      <c r="B7" s="41">
        <v>4</v>
      </c>
      <c r="C7" s="42" t="s">
        <v>42</v>
      </c>
      <c r="D7" s="43" t="s">
        <v>56</v>
      </c>
      <c r="E7" s="44" t="s">
        <v>45</v>
      </c>
      <c r="F7" s="42" t="s">
        <v>44</v>
      </c>
      <c r="G7" s="42" t="s">
        <v>41</v>
      </c>
      <c r="H7" s="45">
        <f t="shared" si="1"/>
        <v>12.123858452791275</v>
      </c>
      <c r="I7" s="45">
        <v>130.5</v>
      </c>
      <c r="J7" s="46" t="s">
        <v>95</v>
      </c>
      <c r="K7" s="46">
        <v>2000</v>
      </c>
      <c r="L7" s="47">
        <v>2022</v>
      </c>
      <c r="M7" s="47">
        <f t="shared" si="2"/>
        <v>22</v>
      </c>
      <c r="N7" s="47">
        <v>40</v>
      </c>
      <c r="O7" s="48">
        <v>0.05</v>
      </c>
      <c r="P7" s="49">
        <f t="shared" si="3"/>
        <v>2.375E-2</v>
      </c>
      <c r="Q7" s="50">
        <v>1000</v>
      </c>
      <c r="R7" s="51">
        <f t="shared" si="4"/>
        <v>10763.9</v>
      </c>
      <c r="S7" s="51">
        <f t="shared" ref="S7:S16" si="10">R7*H7</f>
        <v>130500</v>
      </c>
      <c r="T7" s="51">
        <f t="shared" ref="T7:T16" si="11">S7*P7*M7</f>
        <v>68186.25</v>
      </c>
      <c r="U7" s="51">
        <f t="shared" ref="U7:U16" si="12">MAX(S7-T7,0)</f>
        <v>62313.75</v>
      </c>
      <c r="V7" s="52">
        <v>0.1</v>
      </c>
      <c r="W7" s="51">
        <f t="shared" ref="W7:W16" si="13">IF(U7&gt;O7*S7,U7*(1-V7),S7*O7)</f>
        <v>56082.375</v>
      </c>
      <c r="X7" s="50">
        <v>0</v>
      </c>
      <c r="Y7" s="51">
        <f t="shared" ref="Y7:Y16" si="14">X7*H7</f>
        <v>0</v>
      </c>
      <c r="Z7" s="1"/>
    </row>
    <row r="8" spans="2:26" ht="42.75" x14ac:dyDescent="0.25">
      <c r="B8" s="41">
        <v>5</v>
      </c>
      <c r="C8" s="42" t="s">
        <v>42</v>
      </c>
      <c r="D8" s="43" t="s">
        <v>57</v>
      </c>
      <c r="E8" s="44" t="s">
        <v>43</v>
      </c>
      <c r="F8" s="42" t="s">
        <v>44</v>
      </c>
      <c r="G8" s="42" t="s">
        <v>41</v>
      </c>
      <c r="H8" s="45">
        <f t="shared" si="1"/>
        <v>41.80640845790095</v>
      </c>
      <c r="I8" s="45">
        <v>450</v>
      </c>
      <c r="J8" s="46" t="s">
        <v>96</v>
      </c>
      <c r="K8" s="46">
        <v>2014</v>
      </c>
      <c r="L8" s="47">
        <v>2022</v>
      </c>
      <c r="M8" s="47">
        <f t="shared" si="2"/>
        <v>8</v>
      </c>
      <c r="N8" s="47">
        <v>65</v>
      </c>
      <c r="O8" s="48">
        <v>0.05</v>
      </c>
      <c r="P8" s="49">
        <f t="shared" ref="P8:P16" si="15">(1-O8)/N8</f>
        <v>1.4615384615384615E-2</v>
      </c>
      <c r="Q8" s="50">
        <v>1600</v>
      </c>
      <c r="R8" s="51">
        <f t="shared" ref="R8:R16" si="16">Q8*10.7639</f>
        <v>17222.239999999998</v>
      </c>
      <c r="S8" s="51">
        <f t="shared" si="10"/>
        <v>720000</v>
      </c>
      <c r="T8" s="51">
        <f t="shared" si="11"/>
        <v>84184.61538461539</v>
      </c>
      <c r="U8" s="51">
        <f t="shared" si="12"/>
        <v>635815.38461538462</v>
      </c>
      <c r="V8" s="52">
        <v>0.05</v>
      </c>
      <c r="W8" s="51">
        <f t="shared" si="13"/>
        <v>604024.61538461538</v>
      </c>
      <c r="X8" s="50">
        <f t="shared" ref="X8:X16" si="17">900*10.7639</f>
        <v>9687.51</v>
      </c>
      <c r="Y8" s="51">
        <f t="shared" si="14"/>
        <v>405000.00000000006</v>
      </c>
      <c r="Z8" s="1"/>
    </row>
    <row r="9" spans="2:26" ht="42.75" x14ac:dyDescent="0.25">
      <c r="B9" s="41">
        <v>6</v>
      </c>
      <c r="C9" s="42" t="s">
        <v>42</v>
      </c>
      <c r="D9" s="43" t="s">
        <v>58</v>
      </c>
      <c r="E9" s="44" t="s">
        <v>43</v>
      </c>
      <c r="F9" s="42" t="s">
        <v>44</v>
      </c>
      <c r="G9" s="42" t="s">
        <v>41</v>
      </c>
      <c r="H9" s="45">
        <f t="shared" si="1"/>
        <v>18.284264996887746</v>
      </c>
      <c r="I9" s="45">
        <v>196.81</v>
      </c>
      <c r="J9" s="46" t="s">
        <v>95</v>
      </c>
      <c r="K9" s="46">
        <v>2011</v>
      </c>
      <c r="L9" s="47">
        <v>2022</v>
      </c>
      <c r="M9" s="47">
        <f t="shared" si="2"/>
        <v>11</v>
      </c>
      <c r="N9" s="47">
        <v>65</v>
      </c>
      <c r="O9" s="48">
        <v>0.05</v>
      </c>
      <c r="P9" s="49">
        <f t="shared" si="15"/>
        <v>1.4615384615384615E-2</v>
      </c>
      <c r="Q9" s="50">
        <v>1400</v>
      </c>
      <c r="R9" s="51">
        <f t="shared" si="16"/>
        <v>15069.46</v>
      </c>
      <c r="S9" s="51">
        <f t="shared" si="10"/>
        <v>275534</v>
      </c>
      <c r="T9" s="51">
        <f t="shared" si="11"/>
        <v>44297.389230769229</v>
      </c>
      <c r="U9" s="51">
        <f t="shared" si="12"/>
        <v>231236.61076923076</v>
      </c>
      <c r="V9" s="52">
        <v>0.05</v>
      </c>
      <c r="W9" s="51">
        <f t="shared" si="13"/>
        <v>219674.78023076922</v>
      </c>
      <c r="X9" s="50">
        <f t="shared" si="17"/>
        <v>9687.51</v>
      </c>
      <c r="Y9" s="51">
        <f t="shared" si="14"/>
        <v>177129</v>
      </c>
      <c r="Z9" s="1"/>
    </row>
    <row r="10" spans="2:26" ht="42.75" x14ac:dyDescent="0.25">
      <c r="B10" s="41">
        <v>7</v>
      </c>
      <c r="C10" s="42" t="s">
        <v>42</v>
      </c>
      <c r="D10" s="43" t="s">
        <v>59</v>
      </c>
      <c r="E10" s="44" t="s">
        <v>43</v>
      </c>
      <c r="F10" s="42" t="s">
        <v>44</v>
      </c>
      <c r="G10" s="42" t="s">
        <v>41</v>
      </c>
      <c r="H10" s="45">
        <f t="shared" si="1"/>
        <v>85.076041211828425</v>
      </c>
      <c r="I10" s="45">
        <v>915.75</v>
      </c>
      <c r="J10" s="46" t="s">
        <v>95</v>
      </c>
      <c r="K10" s="46">
        <v>1996</v>
      </c>
      <c r="L10" s="47">
        <v>2022</v>
      </c>
      <c r="M10" s="47">
        <f t="shared" si="2"/>
        <v>26</v>
      </c>
      <c r="N10" s="47">
        <v>65</v>
      </c>
      <c r="O10" s="48">
        <v>0.05</v>
      </c>
      <c r="P10" s="49">
        <f t="shared" si="15"/>
        <v>1.4615384615384615E-2</v>
      </c>
      <c r="Q10" s="50">
        <v>1400</v>
      </c>
      <c r="R10" s="51">
        <f t="shared" si="16"/>
        <v>15069.46</v>
      </c>
      <c r="S10" s="51">
        <f t="shared" si="10"/>
        <v>1282050</v>
      </c>
      <c r="T10" s="51">
        <f t="shared" si="11"/>
        <v>487179.00000000006</v>
      </c>
      <c r="U10" s="51">
        <f t="shared" si="12"/>
        <v>794871</v>
      </c>
      <c r="V10" s="52">
        <v>0.1</v>
      </c>
      <c r="W10" s="51">
        <f t="shared" si="13"/>
        <v>715383.9</v>
      </c>
      <c r="X10" s="50">
        <f t="shared" si="17"/>
        <v>9687.51</v>
      </c>
      <c r="Y10" s="51">
        <f t="shared" si="14"/>
        <v>824175</v>
      </c>
      <c r="Z10" s="1"/>
    </row>
    <row r="11" spans="2:26" ht="42.75" x14ac:dyDescent="0.25">
      <c r="B11" s="41">
        <v>8</v>
      </c>
      <c r="C11" s="42" t="s">
        <v>42</v>
      </c>
      <c r="D11" s="43" t="s">
        <v>60</v>
      </c>
      <c r="E11" s="44" t="s">
        <v>43</v>
      </c>
      <c r="F11" s="42" t="s">
        <v>44</v>
      </c>
      <c r="G11" s="42" t="s">
        <v>41</v>
      </c>
      <c r="H11" s="45">
        <f t="shared" si="1"/>
        <v>61.803807170263568</v>
      </c>
      <c r="I11" s="45">
        <v>665.25</v>
      </c>
      <c r="J11" s="46" t="s">
        <v>95</v>
      </c>
      <c r="K11" s="46">
        <v>1996</v>
      </c>
      <c r="L11" s="47">
        <v>2022</v>
      </c>
      <c r="M11" s="47">
        <f t="shared" si="2"/>
        <v>26</v>
      </c>
      <c r="N11" s="47">
        <v>65</v>
      </c>
      <c r="O11" s="48">
        <v>0.05</v>
      </c>
      <c r="P11" s="49">
        <f t="shared" si="15"/>
        <v>1.4615384615384615E-2</v>
      </c>
      <c r="Q11" s="50">
        <v>1400</v>
      </c>
      <c r="R11" s="51">
        <f t="shared" si="16"/>
        <v>15069.46</v>
      </c>
      <c r="S11" s="51">
        <f t="shared" si="10"/>
        <v>931350</v>
      </c>
      <c r="T11" s="51">
        <f t="shared" si="11"/>
        <v>353913</v>
      </c>
      <c r="U11" s="51">
        <f t="shared" si="12"/>
        <v>577437</v>
      </c>
      <c r="V11" s="52">
        <v>0.1</v>
      </c>
      <c r="W11" s="51">
        <f t="shared" si="13"/>
        <v>519693.3</v>
      </c>
      <c r="X11" s="50">
        <f t="shared" si="17"/>
        <v>9687.51</v>
      </c>
      <c r="Y11" s="51">
        <f t="shared" si="14"/>
        <v>598725</v>
      </c>
      <c r="Z11" s="1"/>
    </row>
    <row r="12" spans="2:26" ht="42.75" x14ac:dyDescent="0.25">
      <c r="B12" s="41">
        <v>9</v>
      </c>
      <c r="C12" s="42" t="s">
        <v>42</v>
      </c>
      <c r="D12" s="43" t="s">
        <v>61</v>
      </c>
      <c r="E12" s="44" t="s">
        <v>43</v>
      </c>
      <c r="F12" s="42" t="s">
        <v>44</v>
      </c>
      <c r="G12" s="42" t="s">
        <v>41</v>
      </c>
      <c r="H12" s="45">
        <f t="shared" si="1"/>
        <v>22.296751177547172</v>
      </c>
      <c r="I12" s="45">
        <v>240</v>
      </c>
      <c r="J12" s="46" t="s">
        <v>97</v>
      </c>
      <c r="K12" s="46">
        <v>2000</v>
      </c>
      <c r="L12" s="47">
        <v>2022</v>
      </c>
      <c r="M12" s="47">
        <f t="shared" si="2"/>
        <v>22</v>
      </c>
      <c r="N12" s="47">
        <v>65</v>
      </c>
      <c r="O12" s="48">
        <v>0.05</v>
      </c>
      <c r="P12" s="49">
        <f t="shared" si="15"/>
        <v>1.4615384615384615E-2</v>
      </c>
      <c r="Q12" s="50">
        <v>1500</v>
      </c>
      <c r="R12" s="51">
        <f t="shared" si="16"/>
        <v>16145.849999999999</v>
      </c>
      <c r="S12" s="51">
        <f t="shared" si="10"/>
        <v>360000</v>
      </c>
      <c r="T12" s="51">
        <f t="shared" si="11"/>
        <v>115753.84615384616</v>
      </c>
      <c r="U12" s="51">
        <f t="shared" si="12"/>
        <v>244246.15384615384</v>
      </c>
      <c r="V12" s="52">
        <v>0.1</v>
      </c>
      <c r="W12" s="51">
        <f t="shared" si="13"/>
        <v>219821.53846153847</v>
      </c>
      <c r="X12" s="50">
        <f t="shared" si="17"/>
        <v>9687.51</v>
      </c>
      <c r="Y12" s="51">
        <f t="shared" si="14"/>
        <v>216000</v>
      </c>
      <c r="Z12" s="1"/>
    </row>
    <row r="13" spans="2:26" ht="42.75" x14ac:dyDescent="0.25">
      <c r="B13" s="41">
        <v>10</v>
      </c>
      <c r="C13" s="42" t="s">
        <v>42</v>
      </c>
      <c r="D13" s="43" t="s">
        <v>62</v>
      </c>
      <c r="E13" s="44" t="s">
        <v>43</v>
      </c>
      <c r="F13" s="42" t="s">
        <v>44</v>
      </c>
      <c r="G13" s="42" t="s">
        <v>41</v>
      </c>
      <c r="H13" s="45">
        <f t="shared" si="1"/>
        <v>233.66530718419907</v>
      </c>
      <c r="I13" s="45">
        <v>2515.15</v>
      </c>
      <c r="J13" s="46" t="s">
        <v>98</v>
      </c>
      <c r="K13" s="46">
        <v>2006</v>
      </c>
      <c r="L13" s="47">
        <v>2022</v>
      </c>
      <c r="M13" s="47">
        <f t="shared" si="2"/>
        <v>16</v>
      </c>
      <c r="N13" s="47">
        <v>65</v>
      </c>
      <c r="O13" s="48">
        <v>0.05</v>
      </c>
      <c r="P13" s="49">
        <f t="shared" si="15"/>
        <v>1.4615384615384615E-2</v>
      </c>
      <c r="Q13" s="50">
        <v>1400</v>
      </c>
      <c r="R13" s="51">
        <f t="shared" si="16"/>
        <v>15069.46</v>
      </c>
      <c r="S13" s="51">
        <f t="shared" si="10"/>
        <v>3521210.0000000005</v>
      </c>
      <c r="T13" s="51">
        <f t="shared" si="11"/>
        <v>823421.41538461554</v>
      </c>
      <c r="U13" s="51">
        <f t="shared" si="12"/>
        <v>2697788.5846153852</v>
      </c>
      <c r="V13" s="52">
        <v>0.1</v>
      </c>
      <c r="W13" s="51">
        <f t="shared" si="13"/>
        <v>2428009.7261538468</v>
      </c>
      <c r="X13" s="50">
        <f t="shared" si="17"/>
        <v>9687.51</v>
      </c>
      <c r="Y13" s="51">
        <f t="shared" si="14"/>
        <v>2263635.0000000005</v>
      </c>
      <c r="Z13" s="1"/>
    </row>
    <row r="14" spans="2:26" ht="42.75" x14ac:dyDescent="0.25">
      <c r="B14" s="41">
        <v>11</v>
      </c>
      <c r="C14" s="42" t="s">
        <v>42</v>
      </c>
      <c r="D14" s="43" t="s">
        <v>63</v>
      </c>
      <c r="E14" s="44" t="s">
        <v>43</v>
      </c>
      <c r="F14" s="42" t="s">
        <v>44</v>
      </c>
      <c r="G14" s="42" t="s">
        <v>41</v>
      </c>
      <c r="H14" s="45">
        <f t="shared" si="1"/>
        <v>264.67451388437274</v>
      </c>
      <c r="I14" s="45">
        <v>2848.93</v>
      </c>
      <c r="J14" s="46" t="s">
        <v>95</v>
      </c>
      <c r="K14" s="46">
        <v>2006</v>
      </c>
      <c r="L14" s="47">
        <v>2022</v>
      </c>
      <c r="M14" s="47">
        <f t="shared" si="2"/>
        <v>16</v>
      </c>
      <c r="N14" s="47">
        <v>65</v>
      </c>
      <c r="O14" s="48">
        <v>0.05</v>
      </c>
      <c r="P14" s="49">
        <f t="shared" si="15"/>
        <v>1.4615384615384615E-2</v>
      </c>
      <c r="Q14" s="50">
        <v>1400</v>
      </c>
      <c r="R14" s="51">
        <f t="shared" si="16"/>
        <v>15069.46</v>
      </c>
      <c r="S14" s="51">
        <f t="shared" si="10"/>
        <v>3988501.9999999995</v>
      </c>
      <c r="T14" s="51">
        <f t="shared" si="11"/>
        <v>932695.85230769217</v>
      </c>
      <c r="U14" s="51">
        <f t="shared" si="12"/>
        <v>3055806.1476923074</v>
      </c>
      <c r="V14" s="52">
        <v>0.1</v>
      </c>
      <c r="W14" s="51">
        <f t="shared" si="13"/>
        <v>2750225.5329230768</v>
      </c>
      <c r="X14" s="50">
        <f t="shared" si="17"/>
        <v>9687.51</v>
      </c>
      <c r="Y14" s="51">
        <f t="shared" si="14"/>
        <v>2564037</v>
      </c>
      <c r="Z14" s="1"/>
    </row>
    <row r="15" spans="2:26" ht="42.75" x14ac:dyDescent="0.25">
      <c r="B15" s="41">
        <v>12</v>
      </c>
      <c r="C15" s="42" t="s">
        <v>42</v>
      </c>
      <c r="D15" s="43" t="s">
        <v>64</v>
      </c>
      <c r="E15" s="44" t="s">
        <v>46</v>
      </c>
      <c r="F15" s="42" t="s">
        <v>44</v>
      </c>
      <c r="G15" s="42" t="s">
        <v>41</v>
      </c>
      <c r="H15" s="45">
        <f t="shared" si="1"/>
        <v>530.19816237609052</v>
      </c>
      <c r="I15" s="45">
        <v>5707</v>
      </c>
      <c r="J15" s="46" t="s">
        <v>96</v>
      </c>
      <c r="K15" s="46">
        <v>2006</v>
      </c>
      <c r="L15" s="47">
        <v>2022</v>
      </c>
      <c r="M15" s="47">
        <f t="shared" si="2"/>
        <v>16</v>
      </c>
      <c r="N15" s="47">
        <v>50</v>
      </c>
      <c r="O15" s="48">
        <v>0.05</v>
      </c>
      <c r="P15" s="49">
        <f t="shared" si="15"/>
        <v>1.9E-2</v>
      </c>
      <c r="Q15" s="50">
        <v>1500</v>
      </c>
      <c r="R15" s="51">
        <f t="shared" si="16"/>
        <v>16145.849999999999</v>
      </c>
      <c r="S15" s="51">
        <f t="shared" si="10"/>
        <v>8560500</v>
      </c>
      <c r="T15" s="51">
        <f t="shared" si="11"/>
        <v>2602392</v>
      </c>
      <c r="U15" s="51">
        <f t="shared" si="12"/>
        <v>5958108</v>
      </c>
      <c r="V15" s="52">
        <v>0.1</v>
      </c>
      <c r="W15" s="51">
        <f t="shared" si="13"/>
        <v>5362297.2</v>
      </c>
      <c r="X15" s="50">
        <f t="shared" si="17"/>
        <v>9687.51</v>
      </c>
      <c r="Y15" s="51">
        <f t="shared" si="14"/>
        <v>5136300.0000000009</v>
      </c>
      <c r="Z15" s="1"/>
    </row>
    <row r="16" spans="2:26" ht="42.75" x14ac:dyDescent="0.25">
      <c r="B16" s="41">
        <v>13</v>
      </c>
      <c r="C16" s="42" t="s">
        <v>42</v>
      </c>
      <c r="D16" s="43" t="s">
        <v>65</v>
      </c>
      <c r="E16" s="44" t="s">
        <v>43</v>
      </c>
      <c r="F16" s="42" t="s">
        <v>44</v>
      </c>
      <c r="G16" s="42" t="s">
        <v>41</v>
      </c>
      <c r="H16" s="45">
        <f t="shared" si="1"/>
        <v>429.70484675628722</v>
      </c>
      <c r="I16" s="45">
        <v>4625.3</v>
      </c>
      <c r="J16" s="46" t="s">
        <v>94</v>
      </c>
      <c r="K16" s="46">
        <v>2012</v>
      </c>
      <c r="L16" s="47">
        <v>2022</v>
      </c>
      <c r="M16" s="47">
        <f t="shared" si="2"/>
        <v>10</v>
      </c>
      <c r="N16" s="47">
        <v>65</v>
      </c>
      <c r="O16" s="48">
        <v>0.05</v>
      </c>
      <c r="P16" s="49">
        <f t="shared" si="15"/>
        <v>1.4615384615384615E-2</v>
      </c>
      <c r="Q16" s="50">
        <v>1400</v>
      </c>
      <c r="R16" s="51">
        <f t="shared" si="16"/>
        <v>15069.46</v>
      </c>
      <c r="S16" s="51">
        <f t="shared" si="10"/>
        <v>6475420</v>
      </c>
      <c r="T16" s="51">
        <f t="shared" si="11"/>
        <v>946407.5384615385</v>
      </c>
      <c r="U16" s="51">
        <f t="shared" si="12"/>
        <v>5529012.461538462</v>
      </c>
      <c r="V16" s="52">
        <v>0.05</v>
      </c>
      <c r="W16" s="51">
        <f t="shared" si="13"/>
        <v>5252561.8384615388</v>
      </c>
      <c r="X16" s="50">
        <f t="shared" si="17"/>
        <v>9687.51</v>
      </c>
      <c r="Y16" s="51">
        <f t="shared" si="14"/>
        <v>4162770</v>
      </c>
      <c r="Z16" s="1"/>
    </row>
    <row r="17" spans="2:26" ht="42.75" x14ac:dyDescent="0.25">
      <c r="B17" s="41">
        <v>14</v>
      </c>
      <c r="C17" s="42" t="s">
        <v>42</v>
      </c>
      <c r="D17" s="43" t="s">
        <v>68</v>
      </c>
      <c r="E17" s="44" t="s">
        <v>45</v>
      </c>
      <c r="F17" s="42" t="s">
        <v>44</v>
      </c>
      <c r="G17" s="42" t="s">
        <v>41</v>
      </c>
      <c r="H17" s="45">
        <f t="shared" si="1"/>
        <v>198.65754977285184</v>
      </c>
      <c r="I17" s="45">
        <v>2138.33</v>
      </c>
      <c r="J17" s="46" t="s">
        <v>96</v>
      </c>
      <c r="K17" s="46">
        <v>2006</v>
      </c>
      <c r="L17" s="47">
        <v>2022</v>
      </c>
      <c r="M17" s="47">
        <f t="shared" si="2"/>
        <v>16</v>
      </c>
      <c r="N17" s="47">
        <v>40</v>
      </c>
      <c r="O17" s="48">
        <v>0.05</v>
      </c>
      <c r="P17" s="49">
        <f t="shared" ref="P17:P19" si="18">(1-O17)/N17</f>
        <v>2.375E-2</v>
      </c>
      <c r="Q17" s="50">
        <v>1000</v>
      </c>
      <c r="R17" s="51">
        <f t="shared" ref="R17:R19" si="19">Q17*10.7639</f>
        <v>10763.9</v>
      </c>
      <c r="S17" s="51">
        <f t="shared" ref="S17:S19" si="20">R17*H17</f>
        <v>2138330</v>
      </c>
      <c r="T17" s="51">
        <f t="shared" ref="T17:T19" si="21">S17*P17*M17</f>
        <v>812565.4</v>
      </c>
      <c r="U17" s="51">
        <f t="shared" ref="U17:U19" si="22">MAX(S17-T17,0)</f>
        <v>1325764.6000000001</v>
      </c>
      <c r="V17" s="52">
        <v>0.1</v>
      </c>
      <c r="W17" s="51">
        <f t="shared" ref="W17:W19" si="23">IF(U17&gt;O17*S17,U17*(1-V17),S17*O17)</f>
        <v>1193188.1400000001</v>
      </c>
      <c r="X17" s="50">
        <v>0</v>
      </c>
      <c r="Y17" s="51">
        <f t="shared" ref="Y17:Y19" si="24">X17*H17</f>
        <v>0</v>
      </c>
      <c r="Z17" s="1"/>
    </row>
    <row r="18" spans="2:26" ht="42.75" x14ac:dyDescent="0.25">
      <c r="B18" s="41">
        <v>15</v>
      </c>
      <c r="C18" s="42" t="s">
        <v>42</v>
      </c>
      <c r="D18" s="43" t="s">
        <v>69</v>
      </c>
      <c r="E18" s="44" t="s">
        <v>45</v>
      </c>
      <c r="F18" s="42" t="s">
        <v>44</v>
      </c>
      <c r="G18" s="42" t="s">
        <v>41</v>
      </c>
      <c r="H18" s="45">
        <f t="shared" si="1"/>
        <v>2786.1592917065377</v>
      </c>
      <c r="I18" s="45">
        <v>29989.94</v>
      </c>
      <c r="J18" s="46" t="s">
        <v>93</v>
      </c>
      <c r="K18" s="46">
        <v>2008</v>
      </c>
      <c r="L18" s="47">
        <v>2022</v>
      </c>
      <c r="M18" s="47">
        <f t="shared" si="2"/>
        <v>14</v>
      </c>
      <c r="N18" s="47">
        <v>40</v>
      </c>
      <c r="O18" s="48">
        <v>0.05</v>
      </c>
      <c r="P18" s="49">
        <f t="shared" si="18"/>
        <v>2.375E-2</v>
      </c>
      <c r="Q18" s="50">
        <v>1000</v>
      </c>
      <c r="R18" s="51">
        <f t="shared" si="19"/>
        <v>10763.9</v>
      </c>
      <c r="S18" s="51">
        <f t="shared" si="20"/>
        <v>29989940</v>
      </c>
      <c r="T18" s="51">
        <f t="shared" si="21"/>
        <v>9971655.0499999989</v>
      </c>
      <c r="U18" s="51">
        <f t="shared" si="22"/>
        <v>20018284.950000003</v>
      </c>
      <c r="V18" s="52">
        <v>0.05</v>
      </c>
      <c r="W18" s="51">
        <f t="shared" si="23"/>
        <v>19017370.702500001</v>
      </c>
      <c r="X18" s="50">
        <v>0</v>
      </c>
      <c r="Y18" s="51">
        <f t="shared" si="24"/>
        <v>0</v>
      </c>
      <c r="Z18" s="1"/>
    </row>
    <row r="19" spans="2:26" ht="42.75" x14ac:dyDescent="0.25">
      <c r="B19" s="41">
        <v>16</v>
      </c>
      <c r="C19" s="42" t="s">
        <v>42</v>
      </c>
      <c r="D19" s="43" t="s">
        <v>70</v>
      </c>
      <c r="E19" s="44" t="s">
        <v>43</v>
      </c>
      <c r="F19" s="42" t="s">
        <v>44</v>
      </c>
      <c r="G19" s="42" t="s">
        <v>41</v>
      </c>
      <c r="H19" s="45">
        <f t="shared" si="1"/>
        <v>330.7351424669497</v>
      </c>
      <c r="I19" s="45">
        <v>3560</v>
      </c>
      <c r="J19" s="46" t="s">
        <v>95</v>
      </c>
      <c r="K19" s="46">
        <v>2010</v>
      </c>
      <c r="L19" s="47">
        <v>2022</v>
      </c>
      <c r="M19" s="47">
        <f t="shared" si="2"/>
        <v>12</v>
      </c>
      <c r="N19" s="47">
        <v>65</v>
      </c>
      <c r="O19" s="48">
        <v>0.05</v>
      </c>
      <c r="P19" s="49">
        <f t="shared" si="18"/>
        <v>1.4615384615384615E-2</v>
      </c>
      <c r="Q19" s="50">
        <v>1400</v>
      </c>
      <c r="R19" s="51">
        <f t="shared" si="19"/>
        <v>15069.46</v>
      </c>
      <c r="S19" s="51">
        <f t="shared" si="20"/>
        <v>4983999.9999999991</v>
      </c>
      <c r="T19" s="51">
        <f t="shared" si="21"/>
        <v>874116.92307692289</v>
      </c>
      <c r="U19" s="51">
        <f t="shared" si="22"/>
        <v>4109883.0769230761</v>
      </c>
      <c r="V19" s="52">
        <v>0.05</v>
      </c>
      <c r="W19" s="51">
        <f t="shared" si="23"/>
        <v>3904388.9230769221</v>
      </c>
      <c r="X19" s="50">
        <f>900*10.7639</f>
        <v>9687.51</v>
      </c>
      <c r="Y19" s="51">
        <f t="shared" si="24"/>
        <v>3204000</v>
      </c>
      <c r="Z19" s="1"/>
    </row>
    <row r="20" spans="2:26" ht="42.75" x14ac:dyDescent="0.25">
      <c r="B20" s="41">
        <v>17</v>
      </c>
      <c r="C20" s="42" t="s">
        <v>42</v>
      </c>
      <c r="D20" s="43" t="s">
        <v>71</v>
      </c>
      <c r="E20" s="44" t="s">
        <v>45</v>
      </c>
      <c r="F20" s="42" t="s">
        <v>44</v>
      </c>
      <c r="G20" s="42" t="s">
        <v>41</v>
      </c>
      <c r="H20" s="45">
        <f t="shared" si="1"/>
        <v>3166.1386672116987</v>
      </c>
      <c r="I20" s="45">
        <v>34080</v>
      </c>
      <c r="J20" s="46" t="s">
        <v>99</v>
      </c>
      <c r="K20" s="46">
        <v>2009</v>
      </c>
      <c r="L20" s="47">
        <v>2022</v>
      </c>
      <c r="M20" s="47">
        <f t="shared" si="2"/>
        <v>13</v>
      </c>
      <c r="N20" s="47">
        <v>40</v>
      </c>
      <c r="O20" s="48">
        <v>0.05</v>
      </c>
      <c r="P20" s="49">
        <f t="shared" ref="P20:P21" si="25">(1-O20)/N20</f>
        <v>2.375E-2</v>
      </c>
      <c r="Q20" s="50">
        <v>1000</v>
      </c>
      <c r="R20" s="51">
        <f t="shared" ref="R20:R21" si="26">Q20*10.7639</f>
        <v>10763.9</v>
      </c>
      <c r="S20" s="51">
        <f t="shared" ref="S20:S21" si="27">R20*H20</f>
        <v>34080000</v>
      </c>
      <c r="T20" s="51">
        <f t="shared" ref="T20:T21" si="28">S20*P20*M20</f>
        <v>10522200</v>
      </c>
      <c r="U20" s="51">
        <f t="shared" ref="U20:U21" si="29">MAX(S20-T20,0)</f>
        <v>23557800</v>
      </c>
      <c r="V20" s="52">
        <v>0.05</v>
      </c>
      <c r="W20" s="51">
        <f t="shared" ref="W20:W21" si="30">IF(U20&gt;O20*S20,U20*(1-V20),S20*O20)</f>
        <v>22379910</v>
      </c>
      <c r="X20" s="50">
        <v>0</v>
      </c>
      <c r="Y20" s="51">
        <f t="shared" ref="Y20:Y21" si="31">X20*H20</f>
        <v>0</v>
      </c>
      <c r="Z20" s="1"/>
    </row>
    <row r="21" spans="2:26" ht="42.75" x14ac:dyDescent="0.25">
      <c r="B21" s="41">
        <v>18</v>
      </c>
      <c r="C21" s="42" t="s">
        <v>42</v>
      </c>
      <c r="D21" s="43" t="s">
        <v>72</v>
      </c>
      <c r="E21" s="44" t="s">
        <v>43</v>
      </c>
      <c r="F21" s="42" t="s">
        <v>44</v>
      </c>
      <c r="G21" s="42" t="s">
        <v>41</v>
      </c>
      <c r="H21" s="45">
        <f t="shared" si="1"/>
        <v>571.2929328589081</v>
      </c>
      <c r="I21" s="45">
        <v>6149.34</v>
      </c>
      <c r="J21" s="46" t="s">
        <v>99</v>
      </c>
      <c r="K21" s="46">
        <v>2008</v>
      </c>
      <c r="L21" s="47">
        <v>2022</v>
      </c>
      <c r="M21" s="47">
        <f t="shared" si="2"/>
        <v>14</v>
      </c>
      <c r="N21" s="47">
        <v>65</v>
      </c>
      <c r="O21" s="48">
        <v>0.05</v>
      </c>
      <c r="P21" s="49">
        <f t="shared" si="25"/>
        <v>1.4615384615384615E-2</v>
      </c>
      <c r="Q21" s="50">
        <v>1500</v>
      </c>
      <c r="R21" s="51">
        <f t="shared" si="26"/>
        <v>16145.849999999999</v>
      </c>
      <c r="S21" s="51">
        <f t="shared" si="27"/>
        <v>9224010</v>
      </c>
      <c r="T21" s="51">
        <f t="shared" si="28"/>
        <v>1887374.3538461537</v>
      </c>
      <c r="U21" s="51">
        <f t="shared" si="29"/>
        <v>7336635.6461538468</v>
      </c>
      <c r="V21" s="52">
        <v>0.05</v>
      </c>
      <c r="W21" s="51">
        <f t="shared" si="30"/>
        <v>6969803.863846154</v>
      </c>
      <c r="X21" s="50">
        <f>900*10.7639</f>
        <v>9687.51</v>
      </c>
      <c r="Y21" s="51">
        <f t="shared" si="31"/>
        <v>5534406.0000000009</v>
      </c>
      <c r="Z21" s="1"/>
    </row>
    <row r="22" spans="2:26" ht="42.75" x14ac:dyDescent="0.25">
      <c r="B22" s="41">
        <v>19</v>
      </c>
      <c r="C22" s="42" t="s">
        <v>42</v>
      </c>
      <c r="D22" s="43" t="s">
        <v>74</v>
      </c>
      <c r="E22" s="44" t="s">
        <v>43</v>
      </c>
      <c r="F22" s="42" t="s">
        <v>44</v>
      </c>
      <c r="G22" s="42" t="s">
        <v>41</v>
      </c>
      <c r="H22" s="45">
        <f t="shared" si="1"/>
        <v>29.729001570062895</v>
      </c>
      <c r="I22" s="45">
        <v>320</v>
      </c>
      <c r="J22" s="46" t="s">
        <v>95</v>
      </c>
      <c r="K22" s="46">
        <v>2013</v>
      </c>
      <c r="L22" s="47">
        <v>2022</v>
      </c>
      <c r="M22" s="47">
        <f t="shared" si="2"/>
        <v>9</v>
      </c>
      <c r="N22" s="47">
        <v>65</v>
      </c>
      <c r="O22" s="48">
        <v>0.05</v>
      </c>
      <c r="P22" s="49">
        <f t="shared" ref="P22" si="32">(1-O22)/N22</f>
        <v>1.4615384615384615E-2</v>
      </c>
      <c r="Q22" s="50">
        <v>1400</v>
      </c>
      <c r="R22" s="51">
        <f t="shared" ref="R22" si="33">Q22*10.7639</f>
        <v>15069.46</v>
      </c>
      <c r="S22" s="51">
        <f t="shared" ref="S22" si="34">R22*H22</f>
        <v>447999.99999999994</v>
      </c>
      <c r="T22" s="51">
        <f t="shared" ref="T22" si="35">S22*P22*M22</f>
        <v>58929.230769230759</v>
      </c>
      <c r="U22" s="51">
        <f t="shared" ref="U22" si="36">MAX(S22-T22,0)</f>
        <v>389070.76923076919</v>
      </c>
      <c r="V22" s="52">
        <v>0.05</v>
      </c>
      <c r="W22" s="51">
        <f t="shared" ref="W22" si="37">IF(U22&gt;O22*S22,U22*(1-V22),S22*O22)</f>
        <v>369617.23076923069</v>
      </c>
      <c r="X22" s="50">
        <f>900*10.7639</f>
        <v>9687.51</v>
      </c>
      <c r="Y22" s="51">
        <f t="shared" ref="Y22" si="38">X22*H22</f>
        <v>288000</v>
      </c>
      <c r="Z22" s="1"/>
    </row>
    <row r="23" spans="2:26" ht="18" x14ac:dyDescent="0.25">
      <c r="B23" s="41"/>
      <c r="C23" s="42"/>
      <c r="D23" s="53" t="s">
        <v>6</v>
      </c>
      <c r="E23" s="42"/>
      <c r="F23" s="42"/>
      <c r="G23" s="42"/>
      <c r="H23" s="45">
        <f t="shared" si="1"/>
        <v>17600.990347364801</v>
      </c>
      <c r="I23" s="54">
        <f>SUM(I4:I22)</f>
        <v>189455.3</v>
      </c>
      <c r="J23" s="46"/>
      <c r="K23" s="46"/>
      <c r="L23" s="47"/>
      <c r="M23" s="47"/>
      <c r="N23" s="47"/>
      <c r="O23" s="48"/>
      <c r="P23" s="49"/>
      <c r="Q23" s="50"/>
      <c r="R23" s="51"/>
      <c r="S23" s="51"/>
      <c r="T23" s="51"/>
      <c r="U23" s="51"/>
      <c r="V23" s="52"/>
      <c r="W23" s="51"/>
      <c r="X23" s="50"/>
      <c r="Y23" s="51"/>
      <c r="Z23" s="1"/>
    </row>
    <row r="24" spans="2:26" ht="18" x14ac:dyDescent="0.25">
      <c r="B24" s="41"/>
      <c r="C24" s="42"/>
      <c r="D24" s="55" t="s">
        <v>76</v>
      </c>
      <c r="E24" s="42"/>
      <c r="F24" s="42"/>
      <c r="G24" s="42"/>
      <c r="H24" s="45"/>
      <c r="I24" s="45"/>
      <c r="J24" s="46"/>
      <c r="K24" s="46"/>
      <c r="L24" s="47"/>
      <c r="M24" s="47"/>
      <c r="N24" s="47"/>
      <c r="O24" s="48"/>
      <c r="P24" s="49"/>
      <c r="Q24" s="50"/>
      <c r="R24" s="51"/>
      <c r="S24" s="51"/>
      <c r="T24" s="51"/>
      <c r="U24" s="51"/>
      <c r="V24" s="52"/>
      <c r="W24" s="51"/>
      <c r="X24" s="50"/>
      <c r="Y24" s="51"/>
      <c r="Z24" s="1"/>
    </row>
    <row r="25" spans="2:26" ht="46.5" customHeight="1" x14ac:dyDescent="0.25">
      <c r="B25" s="41">
        <v>20</v>
      </c>
      <c r="C25" s="42"/>
      <c r="D25" s="43" t="s">
        <v>77</v>
      </c>
      <c r="E25" s="44" t="s">
        <v>43</v>
      </c>
      <c r="F25" s="42" t="s">
        <v>44</v>
      </c>
      <c r="G25" s="42" t="s">
        <v>41</v>
      </c>
      <c r="H25" s="45">
        <f t="shared" si="1"/>
        <v>330.7351424669497</v>
      </c>
      <c r="I25" s="45">
        <v>3560</v>
      </c>
      <c r="J25" s="46" t="s">
        <v>95</v>
      </c>
      <c r="K25" s="46">
        <v>2010</v>
      </c>
      <c r="L25" s="47">
        <v>2022</v>
      </c>
      <c r="M25" s="47">
        <f t="shared" si="2"/>
        <v>12</v>
      </c>
      <c r="N25" s="47">
        <v>65</v>
      </c>
      <c r="O25" s="48">
        <v>0.05</v>
      </c>
      <c r="P25" s="49">
        <f t="shared" ref="P25:P30" si="39">(1-O25)/N25</f>
        <v>1.4615384615384615E-2</v>
      </c>
      <c r="Q25" s="50">
        <v>1400</v>
      </c>
      <c r="R25" s="51">
        <f t="shared" ref="R25:R30" si="40">Q25*10.7639</f>
        <v>15069.46</v>
      </c>
      <c r="S25" s="51">
        <f t="shared" ref="S25:S30" si="41">R25*H25</f>
        <v>4983999.9999999991</v>
      </c>
      <c r="T25" s="51">
        <f t="shared" ref="T25:T30" si="42">S25*P25*M25</f>
        <v>874116.92307692289</v>
      </c>
      <c r="U25" s="51">
        <f t="shared" ref="U25:U30" si="43">MAX(S25-T25,0)</f>
        <v>4109883.0769230761</v>
      </c>
      <c r="V25" s="52">
        <v>0.05</v>
      </c>
      <c r="W25" s="51">
        <f t="shared" ref="W25:W30" si="44">IF(U25&gt;O25*S25,U25*(1-V25),S25*O25)</f>
        <v>3904388.9230769221</v>
      </c>
      <c r="X25" s="50">
        <f t="shared" ref="X25:X30" si="45">900*10.7639</f>
        <v>9687.51</v>
      </c>
      <c r="Y25" s="51">
        <f t="shared" ref="Y25:Y30" si="46">X25*H25</f>
        <v>3204000</v>
      </c>
      <c r="Z25" s="1"/>
    </row>
    <row r="26" spans="2:26" ht="42.75" x14ac:dyDescent="0.25">
      <c r="B26" s="41">
        <v>21</v>
      </c>
      <c r="C26" s="42"/>
      <c r="D26" s="43" t="s">
        <v>78</v>
      </c>
      <c r="E26" s="44" t="s">
        <v>43</v>
      </c>
      <c r="F26" s="42" t="s">
        <v>44</v>
      </c>
      <c r="G26" s="42" t="s">
        <v>41</v>
      </c>
      <c r="H26" s="45">
        <f t="shared" si="1"/>
        <v>70.954765466048556</v>
      </c>
      <c r="I26" s="45">
        <v>763.75</v>
      </c>
      <c r="J26" s="46" t="s">
        <v>98</v>
      </c>
      <c r="K26" s="46">
        <v>2010</v>
      </c>
      <c r="L26" s="47">
        <v>2022</v>
      </c>
      <c r="M26" s="47">
        <f t="shared" si="2"/>
        <v>12</v>
      </c>
      <c r="N26" s="47">
        <v>65</v>
      </c>
      <c r="O26" s="48">
        <v>0.05</v>
      </c>
      <c r="P26" s="49">
        <f t="shared" si="39"/>
        <v>1.4615384615384615E-2</v>
      </c>
      <c r="Q26" s="50">
        <v>1400</v>
      </c>
      <c r="R26" s="51">
        <f t="shared" si="40"/>
        <v>15069.46</v>
      </c>
      <c r="S26" s="51">
        <f t="shared" si="41"/>
        <v>1069250</v>
      </c>
      <c r="T26" s="51">
        <f t="shared" si="42"/>
        <v>187530</v>
      </c>
      <c r="U26" s="51">
        <f t="shared" si="43"/>
        <v>881720</v>
      </c>
      <c r="V26" s="52">
        <v>0.05</v>
      </c>
      <c r="W26" s="51">
        <f t="shared" si="44"/>
        <v>837634</v>
      </c>
      <c r="X26" s="50">
        <f t="shared" si="45"/>
        <v>9687.51</v>
      </c>
      <c r="Y26" s="51">
        <f t="shared" si="46"/>
        <v>687375.00000000012</v>
      </c>
      <c r="Z26" s="1"/>
    </row>
    <row r="27" spans="2:26" ht="42.75" x14ac:dyDescent="0.25">
      <c r="B27" s="41">
        <v>22</v>
      </c>
      <c r="C27" s="42"/>
      <c r="D27" s="43" t="s">
        <v>79</v>
      </c>
      <c r="E27" s="44" t="s">
        <v>43</v>
      </c>
      <c r="F27" s="42" t="s">
        <v>44</v>
      </c>
      <c r="G27" s="42" t="s">
        <v>41</v>
      </c>
      <c r="H27" s="45">
        <f t="shared" si="1"/>
        <v>28.962550748334714</v>
      </c>
      <c r="I27" s="45">
        <v>311.75</v>
      </c>
      <c r="J27" s="46" t="s">
        <v>95</v>
      </c>
      <c r="K27" s="46">
        <v>1996</v>
      </c>
      <c r="L27" s="47">
        <v>2022</v>
      </c>
      <c r="M27" s="47">
        <f t="shared" si="2"/>
        <v>26</v>
      </c>
      <c r="N27" s="47">
        <v>65</v>
      </c>
      <c r="O27" s="48">
        <v>0.05</v>
      </c>
      <c r="P27" s="49">
        <f t="shared" si="39"/>
        <v>1.4615384615384615E-2</v>
      </c>
      <c r="Q27" s="50">
        <v>1400</v>
      </c>
      <c r="R27" s="51">
        <f t="shared" si="40"/>
        <v>15069.46</v>
      </c>
      <c r="S27" s="51">
        <f t="shared" si="41"/>
        <v>436450</v>
      </c>
      <c r="T27" s="51">
        <f t="shared" si="42"/>
        <v>165851</v>
      </c>
      <c r="U27" s="51">
        <f t="shared" si="43"/>
        <v>270599</v>
      </c>
      <c r="V27" s="52">
        <v>0.1</v>
      </c>
      <c r="W27" s="51">
        <f t="shared" si="44"/>
        <v>243539.1</v>
      </c>
      <c r="X27" s="50">
        <f t="shared" si="45"/>
        <v>9687.51</v>
      </c>
      <c r="Y27" s="51">
        <f t="shared" si="46"/>
        <v>280575</v>
      </c>
      <c r="Z27" s="1"/>
    </row>
    <row r="28" spans="2:26" ht="42.75" x14ac:dyDescent="0.25">
      <c r="B28" s="41">
        <v>23</v>
      </c>
      <c r="C28" s="42"/>
      <c r="D28" s="43" t="s">
        <v>80</v>
      </c>
      <c r="E28" s="44" t="s">
        <v>43</v>
      </c>
      <c r="F28" s="42" t="s">
        <v>44</v>
      </c>
      <c r="G28" s="42" t="s">
        <v>41</v>
      </c>
      <c r="H28" s="45">
        <f t="shared" si="1"/>
        <v>57.925101496669427</v>
      </c>
      <c r="I28" s="45">
        <v>623.5</v>
      </c>
      <c r="J28" s="46" t="s">
        <v>95</v>
      </c>
      <c r="K28" s="46">
        <v>1996</v>
      </c>
      <c r="L28" s="47">
        <v>2022</v>
      </c>
      <c r="M28" s="47">
        <f t="shared" si="2"/>
        <v>26</v>
      </c>
      <c r="N28" s="47">
        <v>65</v>
      </c>
      <c r="O28" s="48">
        <v>0.05</v>
      </c>
      <c r="P28" s="49">
        <f t="shared" si="39"/>
        <v>1.4615384615384615E-2</v>
      </c>
      <c r="Q28" s="50">
        <v>1400</v>
      </c>
      <c r="R28" s="51">
        <f t="shared" si="40"/>
        <v>15069.46</v>
      </c>
      <c r="S28" s="51">
        <f t="shared" si="41"/>
        <v>872900</v>
      </c>
      <c r="T28" s="51">
        <f t="shared" si="42"/>
        <v>331702</v>
      </c>
      <c r="U28" s="51">
        <f t="shared" si="43"/>
        <v>541198</v>
      </c>
      <c r="V28" s="52">
        <v>0.1</v>
      </c>
      <c r="W28" s="51">
        <f t="shared" si="44"/>
        <v>487078.2</v>
      </c>
      <c r="X28" s="50">
        <f t="shared" si="45"/>
        <v>9687.51</v>
      </c>
      <c r="Y28" s="51">
        <f t="shared" si="46"/>
        <v>561150</v>
      </c>
      <c r="Z28" s="1"/>
    </row>
    <row r="29" spans="2:26" ht="42.75" x14ac:dyDescent="0.25">
      <c r="B29" s="41">
        <v>24</v>
      </c>
      <c r="C29" s="42"/>
      <c r="D29" s="43" t="s">
        <v>81</v>
      </c>
      <c r="E29" s="44" t="s">
        <v>43</v>
      </c>
      <c r="F29" s="42" t="s">
        <v>44</v>
      </c>
      <c r="G29" s="42" t="s">
        <v>41</v>
      </c>
      <c r="H29" s="45">
        <f t="shared" si="1"/>
        <v>178.03026783972354</v>
      </c>
      <c r="I29" s="45">
        <v>1916.3</v>
      </c>
      <c r="J29" s="46" t="s">
        <v>94</v>
      </c>
      <c r="K29" s="46">
        <v>2012</v>
      </c>
      <c r="L29" s="47">
        <v>2022</v>
      </c>
      <c r="M29" s="47">
        <f t="shared" si="2"/>
        <v>10</v>
      </c>
      <c r="N29" s="47">
        <v>65</v>
      </c>
      <c r="O29" s="48">
        <v>0.05</v>
      </c>
      <c r="P29" s="49">
        <f t="shared" si="39"/>
        <v>1.4615384615384615E-2</v>
      </c>
      <c r="Q29" s="50">
        <v>1400</v>
      </c>
      <c r="R29" s="51">
        <f t="shared" si="40"/>
        <v>15069.46</v>
      </c>
      <c r="S29" s="51">
        <f t="shared" si="41"/>
        <v>2682820</v>
      </c>
      <c r="T29" s="51">
        <f t="shared" si="42"/>
        <v>392104.46153846156</v>
      </c>
      <c r="U29" s="51">
        <f t="shared" si="43"/>
        <v>2290715.5384615385</v>
      </c>
      <c r="V29" s="52">
        <v>0.05</v>
      </c>
      <c r="W29" s="51">
        <f t="shared" si="44"/>
        <v>2176179.7615384613</v>
      </c>
      <c r="X29" s="50">
        <f t="shared" si="45"/>
        <v>9687.51</v>
      </c>
      <c r="Y29" s="51">
        <f t="shared" si="46"/>
        <v>1724670.0000000002</v>
      </c>
      <c r="Z29" s="1"/>
    </row>
    <row r="30" spans="2:26" ht="42.75" x14ac:dyDescent="0.25">
      <c r="B30" s="41">
        <v>25</v>
      </c>
      <c r="C30" s="42"/>
      <c r="D30" s="43" t="s">
        <v>82</v>
      </c>
      <c r="E30" s="44" t="s">
        <v>43</v>
      </c>
      <c r="F30" s="42" t="s">
        <v>44</v>
      </c>
      <c r="G30" s="42" t="s">
        <v>41</v>
      </c>
      <c r="H30" s="45">
        <f t="shared" si="1"/>
        <v>1212.7574577987532</v>
      </c>
      <c r="I30" s="45">
        <v>13054</v>
      </c>
      <c r="J30" s="46" t="s">
        <v>95</v>
      </c>
      <c r="K30" s="46">
        <v>1996</v>
      </c>
      <c r="L30" s="47">
        <v>2022</v>
      </c>
      <c r="M30" s="47">
        <f t="shared" si="2"/>
        <v>26</v>
      </c>
      <c r="N30" s="47">
        <v>65</v>
      </c>
      <c r="O30" s="48">
        <v>0.05</v>
      </c>
      <c r="P30" s="49">
        <f t="shared" si="39"/>
        <v>1.4615384615384615E-2</v>
      </c>
      <c r="Q30" s="50">
        <v>1400</v>
      </c>
      <c r="R30" s="51">
        <f t="shared" si="40"/>
        <v>15069.46</v>
      </c>
      <c r="S30" s="51">
        <f t="shared" si="41"/>
        <v>18275600</v>
      </c>
      <c r="T30" s="51">
        <f t="shared" si="42"/>
        <v>6944728</v>
      </c>
      <c r="U30" s="51">
        <f t="shared" si="43"/>
        <v>11330872</v>
      </c>
      <c r="V30" s="52">
        <v>0.1</v>
      </c>
      <c r="W30" s="51">
        <f t="shared" si="44"/>
        <v>10197784.800000001</v>
      </c>
      <c r="X30" s="50">
        <f t="shared" si="45"/>
        <v>9687.51</v>
      </c>
      <c r="Y30" s="51">
        <f t="shared" si="46"/>
        <v>11748600</v>
      </c>
      <c r="Z30" s="1"/>
    </row>
    <row r="31" spans="2:26" ht="18" x14ac:dyDescent="0.25">
      <c r="B31" s="41"/>
      <c r="C31" s="42"/>
      <c r="D31" s="56"/>
      <c r="E31" s="42"/>
      <c r="F31" s="42"/>
      <c r="G31" s="42"/>
      <c r="H31" s="45">
        <f t="shared" si="1"/>
        <v>1879.3652858164792</v>
      </c>
      <c r="I31" s="57">
        <f>SUM(I25:I30)</f>
        <v>20229.3</v>
      </c>
      <c r="J31" s="46"/>
      <c r="K31" s="46"/>
      <c r="L31" s="47"/>
      <c r="M31" s="47"/>
      <c r="N31" s="47"/>
      <c r="O31" s="48"/>
      <c r="P31" s="49"/>
      <c r="Q31" s="50"/>
      <c r="R31" s="51"/>
      <c r="S31" s="51"/>
      <c r="T31" s="51"/>
      <c r="U31" s="51"/>
      <c r="V31" s="52"/>
      <c r="W31" s="51"/>
      <c r="X31" s="50"/>
      <c r="Y31" s="51"/>
      <c r="Z31" s="1"/>
    </row>
    <row r="32" spans="2:26" ht="18" x14ac:dyDescent="0.25">
      <c r="B32" s="41"/>
      <c r="C32" s="42"/>
      <c r="D32" s="58" t="s">
        <v>83</v>
      </c>
      <c r="E32" s="42">
        <f>VLOOKUP(D32,[1]final!$B$4:$C$44,2,FALSE)</f>
        <v>0</v>
      </c>
      <c r="F32" s="42"/>
      <c r="G32" s="42"/>
      <c r="H32" s="45"/>
      <c r="I32" s="57"/>
      <c r="J32" s="46"/>
      <c r="K32" s="46"/>
      <c r="L32" s="47"/>
      <c r="M32" s="47">
        <f t="shared" si="2"/>
        <v>0</v>
      </c>
      <c r="N32" s="47"/>
      <c r="O32" s="48"/>
      <c r="P32" s="49"/>
      <c r="Q32" s="50"/>
      <c r="R32" s="51"/>
      <c r="S32" s="51"/>
      <c r="T32" s="51"/>
      <c r="U32" s="51"/>
      <c r="V32" s="52"/>
      <c r="W32" s="51"/>
      <c r="X32" s="50"/>
      <c r="Y32" s="51"/>
      <c r="Z32" s="1"/>
    </row>
    <row r="33" spans="2:26" ht="18" x14ac:dyDescent="0.25">
      <c r="B33" s="41"/>
      <c r="C33" s="42"/>
      <c r="D33" s="59"/>
      <c r="E33" s="42"/>
      <c r="F33" s="42"/>
      <c r="G33" s="42"/>
      <c r="H33" s="45"/>
      <c r="I33" s="45"/>
      <c r="J33" s="46"/>
      <c r="K33" s="46"/>
      <c r="L33" s="47"/>
      <c r="M33" s="47">
        <f t="shared" si="2"/>
        <v>0</v>
      </c>
      <c r="N33" s="47"/>
      <c r="O33" s="48"/>
      <c r="P33" s="49"/>
      <c r="Q33" s="50"/>
      <c r="R33" s="51"/>
      <c r="S33" s="51"/>
      <c r="T33" s="51"/>
      <c r="U33" s="51"/>
      <c r="V33" s="52"/>
      <c r="W33" s="51"/>
      <c r="X33" s="50"/>
      <c r="Y33" s="51"/>
      <c r="Z33" s="1"/>
    </row>
    <row r="34" spans="2:26" ht="42.75" x14ac:dyDescent="0.25">
      <c r="B34" s="60">
        <v>26</v>
      </c>
      <c r="C34" s="61" t="s">
        <v>92</v>
      </c>
      <c r="D34" s="81" t="s">
        <v>84</v>
      </c>
      <c r="E34" s="44" t="s">
        <v>45</v>
      </c>
      <c r="F34" s="61" t="s">
        <v>44</v>
      </c>
      <c r="G34" s="61" t="s">
        <v>41</v>
      </c>
      <c r="H34" s="62">
        <f t="shared" si="1"/>
        <v>1074.8892130175866</v>
      </c>
      <c r="I34" s="62">
        <v>11570</v>
      </c>
      <c r="J34" s="63" t="s">
        <v>93</v>
      </c>
      <c r="K34" s="63">
        <v>2015</v>
      </c>
      <c r="L34" s="64">
        <v>2022</v>
      </c>
      <c r="M34" s="64">
        <f t="shared" si="2"/>
        <v>7</v>
      </c>
      <c r="N34" s="64">
        <v>40</v>
      </c>
      <c r="O34" s="65">
        <v>0.05</v>
      </c>
      <c r="P34" s="49">
        <f t="shared" ref="P34" si="47">(1-O34)/N34</f>
        <v>2.375E-2</v>
      </c>
      <c r="Q34" s="50">
        <v>1000</v>
      </c>
      <c r="R34" s="51">
        <f t="shared" ref="R34" si="48">Q34*10.7639</f>
        <v>10763.9</v>
      </c>
      <c r="S34" s="51">
        <f t="shared" ref="S34" si="49">R34*H34</f>
        <v>11570000</v>
      </c>
      <c r="T34" s="51">
        <f t="shared" ref="T34" si="50">S34*P34*M34</f>
        <v>1923512.5</v>
      </c>
      <c r="U34" s="51">
        <f t="shared" ref="U34" si="51">MAX(S34-T34,0)</f>
        <v>9646487.5</v>
      </c>
      <c r="V34" s="52">
        <v>0.05</v>
      </c>
      <c r="W34" s="51">
        <f t="shared" ref="W34" si="52">IF(U34&gt;O34*S34,U34*(1-V34),S34*O34)</f>
        <v>9164163.125</v>
      </c>
      <c r="X34" s="50">
        <v>0</v>
      </c>
      <c r="Y34" s="51">
        <f t="shared" ref="Y34" si="53">X34*H34</f>
        <v>0</v>
      </c>
      <c r="Z34" s="1"/>
    </row>
    <row r="35" spans="2:26" ht="42.75" x14ac:dyDescent="0.25">
      <c r="B35" s="60">
        <v>27</v>
      </c>
      <c r="C35" s="61"/>
      <c r="D35" s="81" t="s">
        <v>85</v>
      </c>
      <c r="E35" s="42" t="str">
        <f>VLOOKUP(D35,[1]final!$B$4:$C$44,2,FALSE)</f>
        <v>MEZZ</v>
      </c>
      <c r="F35" s="61" t="s">
        <v>44</v>
      </c>
      <c r="G35" s="61" t="s">
        <v>41</v>
      </c>
      <c r="H35" s="62">
        <f t="shared" si="1"/>
        <v>985.70220830739788</v>
      </c>
      <c r="I35" s="62">
        <v>10610</v>
      </c>
      <c r="J35" s="63" t="s">
        <v>100</v>
      </c>
      <c r="K35" s="63">
        <v>2015</v>
      </c>
      <c r="L35" s="64">
        <v>2022</v>
      </c>
      <c r="M35" s="64">
        <f t="shared" si="2"/>
        <v>7</v>
      </c>
      <c r="N35" s="64">
        <v>40</v>
      </c>
      <c r="O35" s="65">
        <v>0.05</v>
      </c>
      <c r="P35" s="49">
        <f t="shared" ref="P35" si="54">(1-O35)/N35</f>
        <v>2.375E-2</v>
      </c>
      <c r="Q35" s="50">
        <v>800</v>
      </c>
      <c r="R35" s="51">
        <f t="shared" ref="R35" si="55">Q35*10.7639</f>
        <v>8611.119999999999</v>
      </c>
      <c r="S35" s="51">
        <f t="shared" ref="S35" si="56">R35*H35</f>
        <v>8487999.9999999981</v>
      </c>
      <c r="T35" s="51">
        <f t="shared" ref="T35" si="57">S35*P35*M35</f>
        <v>1411129.9999999998</v>
      </c>
      <c r="U35" s="51">
        <f t="shared" ref="U35" si="58">MAX(S35-T35,0)</f>
        <v>7076869.9999999981</v>
      </c>
      <c r="V35" s="52">
        <v>0.05</v>
      </c>
      <c r="W35" s="51">
        <f t="shared" ref="W35" si="59">IF(U35&gt;O35*S35,U35*(1-V35),S35*O35)</f>
        <v>6723026.4999999981</v>
      </c>
      <c r="X35" s="50">
        <v>0</v>
      </c>
      <c r="Y35" s="51">
        <f t="shared" ref="Y35" si="60">X35*H35</f>
        <v>0</v>
      </c>
      <c r="Z35" s="1"/>
    </row>
    <row r="36" spans="2:26" ht="42.75" x14ac:dyDescent="0.25">
      <c r="B36" s="60">
        <v>28</v>
      </c>
      <c r="C36" s="61" t="s">
        <v>92</v>
      </c>
      <c r="D36" s="81" t="s">
        <v>86</v>
      </c>
      <c r="E36" s="44" t="s">
        <v>45</v>
      </c>
      <c r="F36" s="61" t="s">
        <v>44</v>
      </c>
      <c r="G36" s="61" t="s">
        <v>41</v>
      </c>
      <c r="H36" s="62">
        <f t="shared" si="1"/>
        <v>120.77406887838052</v>
      </c>
      <c r="I36" s="62">
        <v>1300</v>
      </c>
      <c r="J36" s="63" t="s">
        <v>94</v>
      </c>
      <c r="K36" s="63">
        <v>2014</v>
      </c>
      <c r="L36" s="64">
        <v>2022</v>
      </c>
      <c r="M36" s="64">
        <f t="shared" si="2"/>
        <v>8</v>
      </c>
      <c r="N36" s="64">
        <v>40</v>
      </c>
      <c r="O36" s="65">
        <v>0.05</v>
      </c>
      <c r="P36" s="49">
        <f t="shared" ref="P36:P37" si="61">(1-O36)/N36</f>
        <v>2.375E-2</v>
      </c>
      <c r="Q36" s="50">
        <v>1000</v>
      </c>
      <c r="R36" s="51">
        <f t="shared" ref="R36:R37" si="62">Q36*10.7639</f>
        <v>10763.9</v>
      </c>
      <c r="S36" s="51">
        <f t="shared" ref="S36:S37" si="63">R36*H36</f>
        <v>1300000</v>
      </c>
      <c r="T36" s="51">
        <f t="shared" ref="T36:T37" si="64">S36*P36*M36</f>
        <v>247000</v>
      </c>
      <c r="U36" s="51">
        <f t="shared" ref="U36:U37" si="65">MAX(S36-T36,0)</f>
        <v>1053000</v>
      </c>
      <c r="V36" s="52">
        <v>0.05</v>
      </c>
      <c r="W36" s="51">
        <f t="shared" ref="W36:W37" si="66">IF(U36&gt;O36*S36,U36*(1-V36),S36*O36)</f>
        <v>1000350</v>
      </c>
      <c r="X36" s="50">
        <v>0</v>
      </c>
      <c r="Y36" s="51">
        <f t="shared" ref="Y36:Y37" si="67">X36*H36</f>
        <v>0</v>
      </c>
      <c r="Z36" s="1"/>
    </row>
    <row r="37" spans="2:26" ht="42.75" x14ac:dyDescent="0.25">
      <c r="B37" s="60">
        <v>29</v>
      </c>
      <c r="C37" s="61"/>
      <c r="D37" s="81" t="s">
        <v>87</v>
      </c>
      <c r="E37" s="44" t="s">
        <v>43</v>
      </c>
      <c r="F37" s="61" t="s">
        <v>44</v>
      </c>
      <c r="G37" s="61" t="s">
        <v>41</v>
      </c>
      <c r="H37" s="62">
        <f t="shared" si="1"/>
        <v>44.593502355094344</v>
      </c>
      <c r="I37" s="62">
        <v>480</v>
      </c>
      <c r="J37" s="63" t="s">
        <v>100</v>
      </c>
      <c r="K37" s="63">
        <v>2014</v>
      </c>
      <c r="L37" s="64">
        <v>2022</v>
      </c>
      <c r="M37" s="64">
        <f t="shared" si="2"/>
        <v>8</v>
      </c>
      <c r="N37" s="47">
        <v>65</v>
      </c>
      <c r="O37" s="48">
        <v>0.05</v>
      </c>
      <c r="P37" s="49">
        <f t="shared" si="61"/>
        <v>1.4615384615384615E-2</v>
      </c>
      <c r="Q37" s="50">
        <v>1500</v>
      </c>
      <c r="R37" s="51">
        <f t="shared" si="62"/>
        <v>16145.849999999999</v>
      </c>
      <c r="S37" s="51">
        <f t="shared" si="63"/>
        <v>720000</v>
      </c>
      <c r="T37" s="51">
        <f t="shared" si="64"/>
        <v>84184.61538461539</v>
      </c>
      <c r="U37" s="51">
        <f t="shared" si="65"/>
        <v>635815.38461538462</v>
      </c>
      <c r="V37" s="52">
        <v>0.05</v>
      </c>
      <c r="W37" s="51">
        <f t="shared" si="66"/>
        <v>604024.61538461538</v>
      </c>
      <c r="X37" s="50">
        <f>900*10.7639</f>
        <v>9687.51</v>
      </c>
      <c r="Y37" s="51">
        <f t="shared" si="67"/>
        <v>432000</v>
      </c>
      <c r="Z37" s="1"/>
    </row>
    <row r="38" spans="2:26" ht="42.75" x14ac:dyDescent="0.25">
      <c r="B38" s="60">
        <v>30</v>
      </c>
      <c r="C38" s="61"/>
      <c r="D38" s="81" t="s">
        <v>89</v>
      </c>
      <c r="E38" s="44" t="s">
        <v>43</v>
      </c>
      <c r="F38" s="61" t="s">
        <v>44</v>
      </c>
      <c r="G38" s="61" t="s">
        <v>41</v>
      </c>
      <c r="H38" s="62">
        <f t="shared" si="1"/>
        <v>232.25782476611639</v>
      </c>
      <c r="I38" s="62">
        <v>2500</v>
      </c>
      <c r="J38" s="63" t="s">
        <v>95</v>
      </c>
      <c r="K38" s="63">
        <v>2014</v>
      </c>
      <c r="L38" s="64">
        <v>2022</v>
      </c>
      <c r="M38" s="64">
        <f t="shared" si="2"/>
        <v>8</v>
      </c>
      <c r="N38" s="47">
        <v>65</v>
      </c>
      <c r="O38" s="48">
        <v>0.05</v>
      </c>
      <c r="P38" s="49">
        <f t="shared" ref="P38" si="68">(1-O38)/N38</f>
        <v>1.4615384615384615E-2</v>
      </c>
      <c r="Q38" s="50">
        <v>1400</v>
      </c>
      <c r="R38" s="51">
        <f t="shared" ref="R38" si="69">Q38*10.7639</f>
        <v>15069.46</v>
      </c>
      <c r="S38" s="51">
        <f t="shared" ref="S38" si="70">R38*H38</f>
        <v>3500000</v>
      </c>
      <c r="T38" s="51">
        <f t="shared" ref="T38" si="71">S38*P38*M38</f>
        <v>409230.76923076925</v>
      </c>
      <c r="U38" s="51">
        <f t="shared" ref="U38" si="72">MAX(S38-T38,0)</f>
        <v>3090769.230769231</v>
      </c>
      <c r="V38" s="52">
        <v>0.05</v>
      </c>
      <c r="W38" s="51">
        <f t="shared" ref="W38" si="73">IF(U38&gt;O38*S38,U38*(1-V38),S38*O38)</f>
        <v>2936230.7692307695</v>
      </c>
      <c r="X38" s="50">
        <f>900*10.7639</f>
        <v>9687.51</v>
      </c>
      <c r="Y38" s="51">
        <f t="shared" ref="Y38" si="74">X38*H38</f>
        <v>2250000</v>
      </c>
      <c r="Z38" s="1"/>
    </row>
    <row r="39" spans="2:26" ht="18" x14ac:dyDescent="0.25">
      <c r="B39" s="75" t="s">
        <v>6</v>
      </c>
      <c r="C39" s="76"/>
      <c r="D39" s="76"/>
      <c r="E39" s="76"/>
      <c r="F39" s="76"/>
      <c r="G39" s="77"/>
      <c r="H39" s="45">
        <f>SUM(H34:H38)</f>
        <v>2458.2168173245755</v>
      </c>
      <c r="I39" s="62">
        <f>SUM(I34:I38)</f>
        <v>26460</v>
      </c>
      <c r="J39" s="67"/>
      <c r="K39" s="66"/>
      <c r="L39" s="66"/>
      <c r="M39" s="66"/>
      <c r="N39" s="66"/>
      <c r="O39" s="66"/>
      <c r="P39" s="66"/>
      <c r="Q39" s="66"/>
      <c r="R39" s="67"/>
      <c r="T39" s="68"/>
      <c r="U39" s="68"/>
      <c r="V39" s="68"/>
      <c r="X39" s="47"/>
    </row>
    <row r="40" spans="2:26" ht="18" x14ac:dyDescent="0.25">
      <c r="B40" s="70" t="s">
        <v>109</v>
      </c>
      <c r="C40" s="71"/>
      <c r="D40" s="71"/>
      <c r="E40" s="71"/>
      <c r="F40" s="71"/>
      <c r="G40" s="72"/>
      <c r="H40" s="57">
        <f>H39+H31+H23</f>
        <v>21938.572450505853</v>
      </c>
      <c r="I40" s="78">
        <f>I39+I31+I23</f>
        <v>236144.59999999998</v>
      </c>
      <c r="J40" s="67"/>
      <c r="K40" s="67"/>
      <c r="L40" s="67"/>
      <c r="M40" s="67"/>
      <c r="N40" s="67"/>
      <c r="O40" s="67"/>
      <c r="P40" s="67"/>
      <c r="Q40" s="67"/>
      <c r="R40" s="67"/>
      <c r="S40" s="68">
        <f>SUM(S4:S38)</f>
        <v>300872866</v>
      </c>
      <c r="T40" s="68"/>
      <c r="U40" s="68"/>
      <c r="V40" s="68"/>
      <c r="W40" s="68">
        <f>SUM(W4:W38)</f>
        <v>162027483.10526925</v>
      </c>
      <c r="X40" s="47"/>
      <c r="Y40" s="69">
        <f>SUM(Y4:Y38)</f>
        <v>48782547</v>
      </c>
    </row>
    <row r="41" spans="2:26" x14ac:dyDescent="0.25">
      <c r="B41" s="73" t="s">
        <v>47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</row>
    <row r="42" spans="2:26" x14ac:dyDescent="0.25">
      <c r="B42" s="74" t="s">
        <v>107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</row>
    <row r="43" spans="2:26" x14ac:dyDescent="0.25">
      <c r="B43" s="74" t="s">
        <v>106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</row>
    <row r="44" spans="2:26" x14ac:dyDescent="0.25">
      <c r="B44" s="74" t="s">
        <v>48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</row>
    <row r="48" spans="2:26" x14ac:dyDescent="0.25">
      <c r="S48">
        <v>34400000</v>
      </c>
    </row>
    <row r="49" spans="19:20" x14ac:dyDescent="0.25">
      <c r="S49">
        <v>56642503</v>
      </c>
      <c r="T49" s="21"/>
    </row>
  </sheetData>
  <mergeCells count="8">
    <mergeCell ref="B43:Y43"/>
    <mergeCell ref="B44:Y44"/>
    <mergeCell ref="K39:Q39"/>
    <mergeCell ref="B39:G39"/>
    <mergeCell ref="B2:Y2"/>
    <mergeCell ref="B41:Y41"/>
    <mergeCell ref="B42:Y42"/>
    <mergeCell ref="B40:G40"/>
  </mergeCells>
  <dataValidations count="1">
    <dataValidation type="list" allowBlank="1" showInputMessage="1" showErrorMessage="1" promptTitle="Condition of Structure" prompt="Condition of Structure" sqref="G4:G38" xr:uid="{00000000-0002-0000-0100-000000000000}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5"/>
  <sheetViews>
    <sheetView workbookViewId="0">
      <selection activeCell="I5" sqref="I5"/>
    </sheetView>
  </sheetViews>
  <sheetFormatPr defaultRowHeight="15" x14ac:dyDescent="0.25"/>
  <cols>
    <col min="2" max="2" width="7.28515625" bestFit="1" customWidth="1"/>
    <col min="3" max="3" width="15.7109375" bestFit="1" customWidth="1"/>
    <col min="4" max="4" width="9" bestFit="1" customWidth="1"/>
    <col min="5" max="5" width="7.5703125" bestFit="1" customWidth="1"/>
    <col min="6" max="6" width="15.28515625" customWidth="1"/>
    <col min="7" max="7" width="10.85546875" customWidth="1"/>
    <col min="8" max="8" width="19.42578125" customWidth="1"/>
    <col min="9" max="9" width="14.28515625" bestFit="1" customWidth="1"/>
  </cols>
  <sheetData>
    <row r="2" spans="2:9" ht="15.75" x14ac:dyDescent="0.25">
      <c r="B2" s="40" t="s">
        <v>35</v>
      </c>
      <c r="C2" s="40"/>
      <c r="D2" s="40"/>
      <c r="E2" s="40"/>
      <c r="F2" s="40"/>
      <c r="G2" s="40"/>
      <c r="H2" s="40"/>
      <c r="I2" s="40"/>
    </row>
    <row r="3" spans="2:9" ht="57.75" x14ac:dyDescent="0.25">
      <c r="B3" s="10" t="s">
        <v>31</v>
      </c>
      <c r="C3" s="10" t="s">
        <v>29</v>
      </c>
      <c r="D3" s="11" t="s">
        <v>27</v>
      </c>
      <c r="E3" s="11" t="s">
        <v>28</v>
      </c>
      <c r="F3" s="11" t="s">
        <v>51</v>
      </c>
      <c r="G3" s="11" t="s">
        <v>33</v>
      </c>
      <c r="H3" s="11" t="s">
        <v>52</v>
      </c>
      <c r="I3" s="11" t="s">
        <v>26</v>
      </c>
    </row>
    <row r="4" spans="2:9" x14ac:dyDescent="0.25">
      <c r="B4" s="9">
        <v>1</v>
      </c>
      <c r="C4" s="2" t="s">
        <v>30</v>
      </c>
      <c r="D4" s="4">
        <v>38874.79</v>
      </c>
      <c r="E4" s="7">
        <f>D4*1.1959</f>
        <v>46490.361361000003</v>
      </c>
      <c r="F4" s="3">
        <v>10000</v>
      </c>
      <c r="G4" s="16">
        <v>0</v>
      </c>
      <c r="H4" s="22">
        <f>F4*(1+G4)</f>
        <v>10000</v>
      </c>
      <c r="I4" s="5">
        <f>E4*H4</f>
        <v>464903613.61000001</v>
      </c>
    </row>
    <row r="5" spans="2:9" x14ac:dyDescent="0.25">
      <c r="B5" s="39" t="s">
        <v>6</v>
      </c>
      <c r="C5" s="39"/>
      <c r="D5" s="13">
        <f>SUM(D4:D4)</f>
        <v>38874.79</v>
      </c>
      <c r="E5" s="14">
        <f>SUM(E4:E4)</f>
        <v>46490.361361000003</v>
      </c>
      <c r="F5" s="8"/>
      <c r="G5" s="8"/>
      <c r="H5" s="17"/>
      <c r="I5" s="6">
        <f>SUM(I4:I4)</f>
        <v>464903613.61000001</v>
      </c>
    </row>
  </sheetData>
  <mergeCells count="2">
    <mergeCell ref="B2:I2"/>
    <mergeCell ref="B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5"/>
  <sheetViews>
    <sheetView workbookViewId="0">
      <selection activeCell="I4" sqref="I4"/>
    </sheetView>
  </sheetViews>
  <sheetFormatPr defaultRowHeight="15" x14ac:dyDescent="0.25"/>
  <cols>
    <col min="2" max="2" width="6.85546875" customWidth="1"/>
    <col min="3" max="3" width="20.42578125" bestFit="1" customWidth="1"/>
    <col min="4" max="4" width="16.28515625" customWidth="1"/>
    <col min="5" max="5" width="12.28515625" bestFit="1" customWidth="1"/>
    <col min="6" max="6" width="7.5703125" bestFit="1" customWidth="1"/>
    <col min="7" max="7" width="6.85546875" customWidth="1"/>
    <col min="8" max="9" width="12.140625" customWidth="1"/>
    <col min="10" max="10" width="10.5703125" customWidth="1"/>
    <col min="11" max="11" width="14.7109375" customWidth="1"/>
    <col min="12" max="12" width="16.7109375" customWidth="1"/>
  </cols>
  <sheetData>
    <row r="2" spans="2:12" ht="15.75" x14ac:dyDescent="0.25">
      <c r="B2" s="40" t="s">
        <v>36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2:12" ht="70.5" x14ac:dyDescent="0.25">
      <c r="B3" s="10" t="s">
        <v>0</v>
      </c>
      <c r="C3" s="10" t="s">
        <v>10</v>
      </c>
      <c r="D3" s="10" t="s">
        <v>4</v>
      </c>
      <c r="E3" s="11" t="s">
        <v>24</v>
      </c>
      <c r="F3" s="11" t="s">
        <v>25</v>
      </c>
      <c r="G3" s="11" t="s">
        <v>23</v>
      </c>
      <c r="H3" s="11" t="s">
        <v>34</v>
      </c>
      <c r="I3" s="11" t="s">
        <v>37</v>
      </c>
      <c r="J3" s="11" t="s">
        <v>38</v>
      </c>
      <c r="K3" s="11" t="s">
        <v>32</v>
      </c>
      <c r="L3" s="11" t="s">
        <v>26</v>
      </c>
    </row>
    <row r="4" spans="2:12" x14ac:dyDescent="0.25">
      <c r="B4" s="9">
        <v>1</v>
      </c>
      <c r="C4" s="2" t="s">
        <v>13</v>
      </c>
      <c r="D4" s="2" t="s">
        <v>12</v>
      </c>
      <c r="E4" s="4">
        <v>100</v>
      </c>
      <c r="F4" s="7">
        <f>E4*10.7642</f>
        <v>1076.42</v>
      </c>
      <c r="G4" s="7">
        <v>12</v>
      </c>
      <c r="H4" s="2">
        <v>2016</v>
      </c>
      <c r="I4" s="3">
        <v>600</v>
      </c>
      <c r="J4" s="15">
        <v>0.98699999999999999</v>
      </c>
      <c r="K4" s="3">
        <f>I4*(1+J4)</f>
        <v>1192.2</v>
      </c>
      <c r="L4" s="5">
        <f>K4*E4</f>
        <v>119220</v>
      </c>
    </row>
    <row r="5" spans="2:12" x14ac:dyDescent="0.25">
      <c r="B5" s="39" t="s">
        <v>6</v>
      </c>
      <c r="C5" s="39"/>
      <c r="D5" s="39"/>
      <c r="E5" s="13">
        <f>SUM(E4:E4)</f>
        <v>100</v>
      </c>
      <c r="F5" s="14">
        <f>SUM(F4:F4)</f>
        <v>1076.42</v>
      </c>
      <c r="G5" s="8"/>
      <c r="H5" s="39"/>
      <c r="I5" s="39"/>
      <c r="J5" s="39"/>
      <c r="K5" s="8"/>
      <c r="L5" s="6">
        <f>SUM(L4:L4)</f>
        <v>119220</v>
      </c>
    </row>
  </sheetData>
  <mergeCells count="3">
    <mergeCell ref="B2:L2"/>
    <mergeCell ref="B5:D5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Basics Information</vt:lpstr>
      <vt:lpstr>Market Value</vt:lpstr>
      <vt:lpstr>Land Guideline Value</vt:lpstr>
      <vt:lpstr>Structure Guideline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Sharma</cp:lastModifiedBy>
  <dcterms:created xsi:type="dcterms:W3CDTF">2021-09-16T11:33:35Z</dcterms:created>
  <dcterms:modified xsi:type="dcterms:W3CDTF">2022-03-22T10:40:00Z</dcterms:modified>
</cp:coreProperties>
</file>