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W\Treasury\BNK_LN\SBI\RKA\"/>
    </mc:Choice>
  </mc:AlternateContent>
  <bookViews>
    <workbookView xWindow="0" yWindow="0" windowWidth="20490" windowHeight="7160"/>
  </bookViews>
  <sheets>
    <sheet name="Balance Sheet" sheetId="12" r:id="rId1"/>
    <sheet name="Cash Flow" sheetId="19" r:id="rId2"/>
    <sheet name="P&amp;L" sheetId="5" r:id="rId3"/>
    <sheet name="FA" sheetId="11" r:id="rId4"/>
    <sheet name="Capex" sheetId="7" r:id="rId5"/>
    <sheet name="Input" sheetId="18" r:id="rId6"/>
    <sheet name="BA" sheetId="2" r:id="rId7"/>
    <sheet name="DSCR" sheetId="13" r:id="rId8"/>
    <sheet name="Historical" sheetId="10" r:id="rId9"/>
    <sheet name="Sheet2" sheetId="14" state="hidden" r:id="rId10"/>
    <sheet name="Sheet1" sheetId="8" r:id="rId11"/>
  </sheets>
  <externalReferences>
    <externalReference r:id="rId12"/>
    <externalReference r:id="rId13"/>
    <externalReference r:id="rId14"/>
    <externalReference r:id="rId15"/>
  </externalReferences>
  <definedNames>
    <definedName name="_1_Excel_BuiltIn_Print_Titles_4_1">('[1]Renewal Data- Modified'!$B$1:$D$65497,'[1]Renewal Data- Modified'!$B$7:$IV$8)</definedName>
    <definedName name="A">[2]CI0203!#REF!</definedName>
    <definedName name="aaaaaaaaa">'[3]ABRIDGE '!#REF!</definedName>
    <definedName name="aaaaaaaaaaaaaaaaaaaaaaaaaaaaaaaaa">'[3]ABRIDGE '!#REF!</definedName>
    <definedName name="abcd">'[3]ABRIDGE '!#REF!</definedName>
    <definedName name="ABRIDGE">'[3]ABRIDGE '!#REF!</definedName>
    <definedName name="DEC">#REF!</definedName>
    <definedName name="Excel_BuiltIn_Database">#REF!</definedName>
    <definedName name="Excel_BuiltIn_Print_Titles_2">#REF!</definedName>
    <definedName name="Excel_BuiltIn_Print_Titles_4">('[1]Renewal Data- Modified'!$B$1:$D$65530,'[1]Renewal Data- Modified'!$B$7:$IV$8)</definedName>
    <definedName name="Linesheet10">#REF!</definedName>
    <definedName name="_xlnm.Print_Area">#REF!</definedName>
    <definedName name="PRINT_AREA_MI">#REF!</definedName>
    <definedName name="USDINR">[4]BA!$C$9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9" l="1"/>
  <c r="A44" i="19"/>
  <c r="A43" i="19"/>
  <c r="C42" i="19"/>
  <c r="C41" i="19"/>
  <c r="C40" i="19"/>
  <c r="C39" i="19"/>
  <c r="D38" i="19"/>
  <c r="C37" i="19"/>
  <c r="D37" i="19" s="1"/>
  <c r="J34" i="19"/>
  <c r="I34" i="19"/>
  <c r="H34" i="19"/>
  <c r="G34" i="19"/>
  <c r="F34" i="19"/>
  <c r="E34" i="19"/>
  <c r="D34" i="19"/>
  <c r="C34" i="19"/>
  <c r="C28" i="19"/>
  <c r="M58" i="18"/>
  <c r="L58" i="18"/>
  <c r="K58" i="18"/>
  <c r="J58" i="18"/>
  <c r="I58" i="18"/>
  <c r="H58" i="18"/>
  <c r="G58" i="18"/>
  <c r="F58" i="18"/>
  <c r="E58" i="18"/>
  <c r="D58" i="18"/>
  <c r="C57" i="18"/>
  <c r="M25" i="18"/>
  <c r="L25" i="18"/>
  <c r="K25" i="18"/>
  <c r="J25" i="18"/>
  <c r="I25" i="18"/>
  <c r="H25" i="18"/>
  <c r="G25" i="18"/>
  <c r="F25" i="18"/>
  <c r="E25" i="18"/>
  <c r="D25" i="18"/>
  <c r="M17" i="18"/>
  <c r="L17" i="18"/>
  <c r="K17" i="18"/>
  <c r="J17" i="18"/>
  <c r="I17" i="18"/>
  <c r="H17" i="18"/>
  <c r="G17" i="18"/>
  <c r="F17" i="18"/>
  <c r="E17" i="18"/>
  <c r="D17" i="18"/>
  <c r="M21" i="18"/>
  <c r="L21" i="18"/>
  <c r="K21" i="18"/>
  <c r="J21" i="18"/>
  <c r="I21" i="18"/>
  <c r="H21" i="18"/>
  <c r="G21" i="18"/>
  <c r="F21" i="18"/>
  <c r="E21" i="18"/>
  <c r="D21" i="18"/>
  <c r="M13" i="18"/>
  <c r="L13" i="18"/>
  <c r="K13" i="18"/>
  <c r="J13" i="18"/>
  <c r="I13" i="18"/>
  <c r="H13" i="18"/>
  <c r="G13" i="18"/>
  <c r="F13" i="18"/>
  <c r="E13" i="18"/>
  <c r="D71" i="2"/>
  <c r="D13" i="18" s="1"/>
  <c r="E65" i="2"/>
  <c r="E6" i="18" s="1"/>
  <c r="D65" i="2"/>
  <c r="D6" i="18" s="1"/>
  <c r="C65" i="2"/>
  <c r="C6" i="18" s="1"/>
  <c r="C48" i="2"/>
  <c r="C4" i="18" s="1"/>
  <c r="C55" i="2"/>
  <c r="C5" i="18" s="1"/>
  <c r="D48" i="2" l="1"/>
  <c r="E48" i="2" s="1"/>
  <c r="F48" i="2" s="1"/>
  <c r="C67" i="19"/>
  <c r="C7" i="19" s="1"/>
  <c r="E38" i="19"/>
  <c r="F38" i="19" s="1"/>
  <c r="C44" i="19"/>
  <c r="D44" i="19" s="1"/>
  <c r="E44" i="19" s="1"/>
  <c r="D42" i="19"/>
  <c r="A45" i="19"/>
  <c r="E37" i="19"/>
  <c r="D40" i="19"/>
  <c r="D39" i="19"/>
  <c r="D41" i="19"/>
  <c r="C43" i="19"/>
  <c r="D34" i="18"/>
  <c r="D55" i="2" l="1"/>
  <c r="F44" i="19"/>
  <c r="G38" i="19"/>
  <c r="F37" i="19"/>
  <c r="H38" i="19"/>
  <c r="E41" i="19"/>
  <c r="F41" i="19" s="1"/>
  <c r="E42" i="19"/>
  <c r="F42" i="19" s="1"/>
  <c r="G42" i="19" s="1"/>
  <c r="D43" i="19"/>
  <c r="E39" i="19"/>
  <c r="A46" i="19"/>
  <c r="C45" i="19"/>
  <c r="E40" i="19"/>
  <c r="G44" i="19"/>
  <c r="E7" i="5"/>
  <c r="D5" i="18"/>
  <c r="A47" i="19" l="1"/>
  <c r="C46" i="19"/>
  <c r="I38" i="19"/>
  <c r="J38" i="19" s="1"/>
  <c r="E45" i="19"/>
  <c r="F39" i="19"/>
  <c r="G39" i="19" s="1"/>
  <c r="E43" i="19"/>
  <c r="F43" i="19" s="1"/>
  <c r="F40" i="19"/>
  <c r="G41" i="19"/>
  <c r="H44" i="19"/>
  <c r="G37" i="19"/>
  <c r="D45" i="19"/>
  <c r="H42" i="19"/>
  <c r="I44" i="19"/>
  <c r="J44" i="19" s="1"/>
  <c r="I42" i="19" l="1"/>
  <c r="J42" i="19" s="1"/>
  <c r="K44" i="19"/>
  <c r="L44" i="19"/>
  <c r="C47" i="19"/>
  <c r="A48" i="19"/>
  <c r="K38" i="19"/>
  <c r="L38" i="19"/>
  <c r="G43" i="19"/>
  <c r="D46" i="19"/>
  <c r="H37" i="19"/>
  <c r="G40" i="19"/>
  <c r="H41" i="19"/>
  <c r="I41" i="19" s="1"/>
  <c r="F45" i="19"/>
  <c r="H39" i="19"/>
  <c r="I39" i="19" s="1"/>
  <c r="H40" i="19"/>
  <c r="K42" i="19" l="1"/>
  <c r="L42" i="19" s="1"/>
  <c r="J41" i="19"/>
  <c r="I40" i="19"/>
  <c r="I37" i="19"/>
  <c r="C48" i="19"/>
  <c r="D48" i="19" s="1"/>
  <c r="E48" i="19" s="1"/>
  <c r="A49" i="19"/>
  <c r="D47" i="19"/>
  <c r="H43" i="19"/>
  <c r="K41" i="19"/>
  <c r="L41" i="19" s="1"/>
  <c r="J39" i="19"/>
  <c r="K39" i="19" s="1"/>
  <c r="L39" i="19" s="1"/>
  <c r="G45" i="19"/>
  <c r="E46" i="19"/>
  <c r="J40" i="19"/>
  <c r="K40" i="19" l="1"/>
  <c r="L40" i="19" s="1"/>
  <c r="E47" i="19"/>
  <c r="I43" i="19"/>
  <c r="J43" i="19" s="1"/>
  <c r="K43" i="19" s="1"/>
  <c r="L43" i="19" s="1"/>
  <c r="A50" i="19"/>
  <c r="C49" i="19"/>
  <c r="D49" i="19" s="1"/>
  <c r="F46" i="19"/>
  <c r="H45" i="19"/>
  <c r="J37" i="19"/>
  <c r="F47" i="19"/>
  <c r="F48" i="19"/>
  <c r="G48" i="19"/>
  <c r="H48" i="19" s="1"/>
  <c r="I45" i="19" l="1"/>
  <c r="J45" i="19" s="1"/>
  <c r="K45" i="19" s="1"/>
  <c r="L45" i="19" s="1"/>
  <c r="K37" i="19"/>
  <c r="E49" i="19"/>
  <c r="I48" i="19"/>
  <c r="J48" i="19" s="1"/>
  <c r="G47" i="19"/>
  <c r="G46" i="19"/>
  <c r="A51" i="19"/>
  <c r="C50" i="19"/>
  <c r="D50" i="19" s="1"/>
  <c r="K48" i="19" l="1"/>
  <c r="L48" i="19" s="1"/>
  <c r="H46" i="19"/>
  <c r="H47" i="19"/>
  <c r="I47" i="19" s="1"/>
  <c r="J47" i="19" s="1"/>
  <c r="K47" i="19" s="1"/>
  <c r="L47" i="19" s="1"/>
  <c r="C51" i="19"/>
  <c r="D51" i="19" s="1"/>
  <c r="E51" i="19" s="1"/>
  <c r="A52" i="19"/>
  <c r="E50" i="19"/>
  <c r="F49" i="19"/>
  <c r="L37" i="19"/>
  <c r="F51" i="19" l="1"/>
  <c r="C52" i="19"/>
  <c r="D52" i="19" s="1"/>
  <c r="A53" i="19"/>
  <c r="G49" i="19"/>
  <c r="F50" i="19"/>
  <c r="I46" i="19"/>
  <c r="G50" i="19" l="1"/>
  <c r="H50" i="19" s="1"/>
  <c r="A54" i="19"/>
  <c r="C53" i="19"/>
  <c r="D53" i="19" s="1"/>
  <c r="J46" i="19"/>
  <c r="E52" i="19"/>
  <c r="F52" i="19"/>
  <c r="G51" i="19"/>
  <c r="H49" i="19"/>
  <c r="G52" i="19" l="1"/>
  <c r="I50" i="19"/>
  <c r="E53" i="19"/>
  <c r="F53" i="19" s="1"/>
  <c r="I49" i="19"/>
  <c r="A55" i="19"/>
  <c r="C54" i="19"/>
  <c r="H52" i="19"/>
  <c r="I52" i="19" s="1"/>
  <c r="H51" i="19"/>
  <c r="K46" i="19"/>
  <c r="J49" i="19" l="1"/>
  <c r="K49" i="19" s="1"/>
  <c r="L49" i="19" s="1"/>
  <c r="K50" i="19"/>
  <c r="L50" i="19" s="1"/>
  <c r="J52" i="19"/>
  <c r="K52" i="19" s="1"/>
  <c r="L52" i="19" s="1"/>
  <c r="J50" i="19"/>
  <c r="I51" i="19"/>
  <c r="C55" i="19"/>
  <c r="A56" i="19"/>
  <c r="G53" i="19"/>
  <c r="L46" i="19"/>
  <c r="D54" i="19"/>
  <c r="H53" i="19"/>
  <c r="C35" i="19" l="1"/>
  <c r="C65" i="19" s="1"/>
  <c r="C23" i="19"/>
  <c r="C25" i="19" s="1"/>
  <c r="I53" i="19"/>
  <c r="E54" i="19"/>
  <c r="A57" i="19"/>
  <c r="D56" i="19"/>
  <c r="E56" i="19" s="1"/>
  <c r="F56" i="19" s="1"/>
  <c r="J51" i="19"/>
  <c r="D55" i="19"/>
  <c r="K51" i="19" l="1"/>
  <c r="L51" i="19" s="1"/>
  <c r="D35" i="19"/>
  <c r="E55" i="19"/>
  <c r="G56" i="19"/>
  <c r="A58" i="19"/>
  <c r="D57" i="19"/>
  <c r="F54" i="19"/>
  <c r="G54" i="19" s="1"/>
  <c r="H54" i="19" s="1"/>
  <c r="D33" i="19"/>
  <c r="D65" i="19" s="1"/>
  <c r="D67" i="19" s="1"/>
  <c r="D7" i="19" s="1"/>
  <c r="J53" i="19"/>
  <c r="I54" i="19" l="1"/>
  <c r="J54" i="19"/>
  <c r="A59" i="19"/>
  <c r="D58" i="19"/>
  <c r="K53" i="19"/>
  <c r="F55" i="19"/>
  <c r="E33" i="19"/>
  <c r="E57" i="19"/>
  <c r="F57" i="19" s="1"/>
  <c r="H56" i="19"/>
  <c r="K54" i="19"/>
  <c r="L54" i="19" s="1"/>
  <c r="E58" i="19" l="1"/>
  <c r="I56" i="19"/>
  <c r="J56" i="19" s="1"/>
  <c r="K56" i="19" s="1"/>
  <c r="G57" i="19"/>
  <c r="G55" i="19"/>
  <c r="H55" i="19" s="1"/>
  <c r="A60" i="19"/>
  <c r="D59" i="19"/>
  <c r="H57" i="19"/>
  <c r="L53" i="19"/>
  <c r="I57" i="19" l="1"/>
  <c r="J57" i="19" s="1"/>
  <c r="K57" i="19" s="1"/>
  <c r="L57" i="19" s="1"/>
  <c r="I55" i="19"/>
  <c r="E59" i="19"/>
  <c r="F59" i="19" s="1"/>
  <c r="A61" i="19"/>
  <c r="E60" i="19"/>
  <c r="F60" i="19" s="1"/>
  <c r="D60" i="19"/>
  <c r="L56" i="19"/>
  <c r="F58" i="19"/>
  <c r="G58" i="19" s="1"/>
  <c r="J55" i="19"/>
  <c r="G60" i="19" l="1"/>
  <c r="H60" i="19" s="1"/>
  <c r="G59" i="19"/>
  <c r="H58" i="19"/>
  <c r="I58" i="19" s="1"/>
  <c r="A62" i="19"/>
  <c r="D61" i="19"/>
  <c r="E61" i="19" s="1"/>
  <c r="K55" i="19"/>
  <c r="L55" i="19" s="1"/>
  <c r="I60" i="19" l="1"/>
  <c r="D62" i="19"/>
  <c r="D23" i="19" s="1"/>
  <c r="D25" i="19" s="1"/>
  <c r="H59" i="19"/>
  <c r="I59" i="19" s="1"/>
  <c r="J59" i="19" s="1"/>
  <c r="K59" i="19" s="1"/>
  <c r="F61" i="19"/>
  <c r="G61" i="19" s="1"/>
  <c r="J58" i="19"/>
  <c r="K58" i="19" s="1"/>
  <c r="L58" i="19" s="1"/>
  <c r="E62" i="19" l="1"/>
  <c r="J60" i="19"/>
  <c r="H61" i="19"/>
  <c r="I61" i="19" s="1"/>
  <c r="L59" i="19"/>
  <c r="K34" i="19"/>
  <c r="J61" i="19" l="1"/>
  <c r="K61" i="19" s="1"/>
  <c r="E35" i="19"/>
  <c r="E65" i="19" s="1"/>
  <c r="E23" i="19"/>
  <c r="E25" i="19" s="1"/>
  <c r="F62" i="19"/>
  <c r="K60" i="19"/>
  <c r="L60" i="19" s="1"/>
  <c r="L61" i="19" l="1"/>
  <c r="F33" i="19"/>
  <c r="E67" i="19"/>
  <c r="E7" i="19" s="1"/>
  <c r="F35" i="19"/>
  <c r="F23" i="19"/>
  <c r="F25" i="19" s="1"/>
  <c r="G62" i="19"/>
  <c r="G23" i="19" l="1"/>
  <c r="G25" i="19" s="1"/>
  <c r="G35" i="19"/>
  <c r="F65" i="19"/>
  <c r="H62" i="19"/>
  <c r="H23" i="19" l="1"/>
  <c r="H25" i="19" s="1"/>
  <c r="H35" i="19"/>
  <c r="I62" i="19"/>
  <c r="J62" i="19" s="1"/>
  <c r="G33" i="19"/>
  <c r="G65" i="19" s="1"/>
  <c r="G67" i="19" s="1"/>
  <c r="G7" i="19" s="1"/>
  <c r="F67" i="19"/>
  <c r="F7" i="19" s="1"/>
  <c r="K62" i="19" l="1"/>
  <c r="L62" i="19" s="1"/>
  <c r="I35" i="19"/>
  <c r="I23" i="19"/>
  <c r="I25" i="19" s="1"/>
  <c r="H33" i="19"/>
  <c r="H65" i="19" s="1"/>
  <c r="H67" i="19" s="1"/>
  <c r="H7" i="19" s="1"/>
  <c r="J35" i="19"/>
  <c r="J23" i="19"/>
  <c r="J25" i="19" s="1"/>
  <c r="L23" i="19" l="1"/>
  <c r="L25" i="19" s="1"/>
  <c r="L35" i="19"/>
  <c r="K23" i="19"/>
  <c r="K25" i="19" s="1"/>
  <c r="K35" i="19"/>
  <c r="I33" i="19"/>
  <c r="I65" i="19" s="1"/>
  <c r="J33" i="19" l="1"/>
  <c r="J65" i="19" s="1"/>
  <c r="J67" i="19"/>
  <c r="J7" i="19" s="1"/>
  <c r="I67" i="19"/>
  <c r="I7" i="19" s="1"/>
  <c r="K33" i="19" l="1"/>
  <c r="K65" i="19" s="1"/>
  <c r="K67" i="19"/>
  <c r="K7" i="19" s="1"/>
  <c r="L33" i="19" l="1"/>
  <c r="L65" i="19" s="1"/>
  <c r="L67" i="19" s="1"/>
  <c r="L7" i="19" s="1"/>
  <c r="M31" i="18" l="1"/>
  <c r="L31" i="18"/>
  <c r="K31" i="18"/>
  <c r="J31" i="18"/>
  <c r="I31" i="18"/>
  <c r="H31" i="18"/>
  <c r="G31" i="18"/>
  <c r="F31" i="18"/>
  <c r="E31" i="18"/>
  <c r="D31" i="18"/>
  <c r="O13" i="7" l="1"/>
  <c r="N13" i="7"/>
  <c r="M13" i="7"/>
  <c r="L13" i="7"/>
  <c r="K13" i="7"/>
  <c r="J13" i="7"/>
  <c r="I13" i="7"/>
  <c r="H13" i="7"/>
  <c r="G13" i="7"/>
  <c r="O12" i="7"/>
  <c r="N12" i="7"/>
  <c r="M12" i="7"/>
  <c r="L12" i="7"/>
  <c r="K12" i="7"/>
  <c r="J12" i="7"/>
  <c r="I12" i="7"/>
  <c r="H12" i="7"/>
  <c r="G12" i="7"/>
  <c r="O11" i="7"/>
  <c r="N11" i="7"/>
  <c r="M11" i="7"/>
  <c r="L11" i="7"/>
  <c r="K11" i="7"/>
  <c r="J11" i="7"/>
  <c r="I11" i="7"/>
  <c r="H11" i="7"/>
  <c r="G11" i="7"/>
  <c r="O10" i="7"/>
  <c r="N10" i="7"/>
  <c r="M10" i="7"/>
  <c r="L10" i="7"/>
  <c r="K10" i="7"/>
  <c r="J10" i="7"/>
  <c r="I10" i="7"/>
  <c r="H10" i="7"/>
  <c r="G10" i="7"/>
  <c r="O9" i="7"/>
  <c r="N9" i="7"/>
  <c r="M9" i="7"/>
  <c r="L9" i="7"/>
  <c r="K9" i="7"/>
  <c r="J9" i="7"/>
  <c r="I9" i="7"/>
  <c r="H9" i="7"/>
  <c r="G9" i="7"/>
  <c r="O8" i="7"/>
  <c r="N8" i="7"/>
  <c r="M8" i="7"/>
  <c r="L8" i="7"/>
  <c r="K8" i="7"/>
  <c r="J8" i="7"/>
  <c r="I8" i="7"/>
  <c r="H8" i="7"/>
  <c r="G8" i="7"/>
  <c r="O7" i="7"/>
  <c r="N7" i="7"/>
  <c r="M7" i="7"/>
  <c r="L7" i="7"/>
  <c r="K7" i="7"/>
  <c r="J7" i="7"/>
  <c r="I7" i="7"/>
  <c r="H7" i="7"/>
  <c r="G7" i="7"/>
  <c r="E89" i="2" l="1"/>
  <c r="F89" i="2" s="1"/>
  <c r="G89" i="2" s="1"/>
  <c r="H89" i="2" s="1"/>
  <c r="I89" i="2" s="1"/>
  <c r="J89" i="2" s="1"/>
  <c r="K89" i="2" s="1"/>
  <c r="L89" i="2" s="1"/>
  <c r="M89" i="2" s="1"/>
  <c r="D99" i="2"/>
  <c r="E99" i="2" s="1"/>
  <c r="F99" i="2" s="1"/>
  <c r="G99" i="2" s="1"/>
  <c r="H99" i="2" s="1"/>
  <c r="I99" i="2" s="1"/>
  <c r="J99" i="2" s="1"/>
  <c r="K99" i="2" s="1"/>
  <c r="L99" i="2" s="1"/>
  <c r="M99" i="2" s="1"/>
  <c r="D100" i="2"/>
  <c r="E100" i="2" s="1"/>
  <c r="F100" i="2" s="1"/>
  <c r="G100" i="2" s="1"/>
  <c r="H100" i="2" s="1"/>
  <c r="I100" i="2" s="1"/>
  <c r="J100" i="2" s="1"/>
  <c r="K100" i="2" s="1"/>
  <c r="L100" i="2" s="1"/>
  <c r="M100" i="2" s="1"/>
  <c r="D101" i="2"/>
  <c r="E101" i="2" s="1"/>
  <c r="F101" i="2" s="1"/>
  <c r="G101" i="2" s="1"/>
  <c r="H101" i="2" s="1"/>
  <c r="I101" i="2" s="1"/>
  <c r="J101" i="2" s="1"/>
  <c r="K101" i="2" s="1"/>
  <c r="L101" i="2" s="1"/>
  <c r="M101" i="2" s="1"/>
  <c r="D102" i="2"/>
  <c r="E102" i="2" s="1"/>
  <c r="F102" i="2" s="1"/>
  <c r="G102" i="2" s="1"/>
  <c r="H102" i="2" s="1"/>
  <c r="I102" i="2" s="1"/>
  <c r="J102" i="2" s="1"/>
  <c r="K102" i="2" s="1"/>
  <c r="L102" i="2" s="1"/>
  <c r="M102" i="2" s="1"/>
  <c r="D103" i="2"/>
  <c r="E103" i="2" s="1"/>
  <c r="D104" i="2"/>
  <c r="E104" i="2" s="1"/>
  <c r="F104" i="2" s="1"/>
  <c r="D87" i="2"/>
  <c r="E87" i="2"/>
  <c r="F87" i="2"/>
  <c r="G87" i="2"/>
  <c r="H87" i="2"/>
  <c r="I87" i="2"/>
  <c r="J87" i="2"/>
  <c r="K87" i="2"/>
  <c r="L87" i="2"/>
  <c r="M87" i="2"/>
  <c r="G104" i="2" l="1"/>
  <c r="H104" i="2" s="1"/>
  <c r="I104" i="2" s="1"/>
  <c r="J104" i="2" s="1"/>
  <c r="K104" i="2" s="1"/>
  <c r="L104" i="2" s="1"/>
  <c r="M104" i="2" s="1"/>
  <c r="F32" i="18"/>
  <c r="F103" i="2"/>
  <c r="E93" i="2"/>
  <c r="E92" i="2" s="1"/>
  <c r="F93" i="2" l="1"/>
  <c r="F92" i="2" s="1"/>
  <c r="G103" i="2"/>
  <c r="H103" i="2" l="1"/>
  <c r="G93" i="2"/>
  <c r="G92" i="2" s="1"/>
  <c r="I103" i="2" l="1"/>
  <c r="H93" i="2"/>
  <c r="H92" i="2" s="1"/>
  <c r="J103" i="2" l="1"/>
  <c r="I93" i="2"/>
  <c r="I92" i="2" s="1"/>
  <c r="J93" i="2" l="1"/>
  <c r="J92" i="2" s="1"/>
  <c r="K103" i="2"/>
  <c r="L103" i="2" l="1"/>
  <c r="K93" i="2"/>
  <c r="K92" i="2" s="1"/>
  <c r="L93" i="2" l="1"/>
  <c r="L92" i="2" s="1"/>
  <c r="M103" i="2"/>
  <c r="M93" i="2" s="1"/>
  <c r="M92" i="2" s="1"/>
  <c r="D47" i="18" l="1"/>
  <c r="D49" i="18" s="1"/>
  <c r="F8" i="5"/>
  <c r="E8" i="5"/>
  <c r="N17" i="5"/>
  <c r="M17" i="5"/>
  <c r="L17" i="5"/>
  <c r="K17" i="5"/>
  <c r="J17" i="5"/>
  <c r="I17" i="5"/>
  <c r="H17" i="5"/>
  <c r="G17" i="5"/>
  <c r="F17" i="5"/>
  <c r="E17" i="5"/>
  <c r="D15" i="18" l="1"/>
  <c r="M7" i="18"/>
  <c r="L7" i="18"/>
  <c r="K7" i="18"/>
  <c r="J7" i="18"/>
  <c r="I7" i="18"/>
  <c r="H7" i="18"/>
  <c r="G7" i="18"/>
  <c r="F7" i="18"/>
  <c r="E7" i="18"/>
  <c r="D7" i="18"/>
  <c r="E8" i="18" l="1"/>
  <c r="E57" i="18" s="1"/>
  <c r="E59" i="18" s="1"/>
  <c r="F18" i="5" s="1"/>
  <c r="D8" i="18"/>
  <c r="D57" i="18" s="1"/>
  <c r="D59" i="18" s="1"/>
  <c r="E18" i="5" s="1"/>
  <c r="D4" i="18"/>
  <c r="D31" i="2" l="1"/>
  <c r="C111" i="2" s="1"/>
  <c r="D111" i="2" s="1"/>
  <c r="E111" i="2" s="1"/>
  <c r="F111" i="2" s="1"/>
  <c r="G111" i="2" s="1"/>
  <c r="H111" i="2" s="1"/>
  <c r="I111" i="2" s="1"/>
  <c r="J111" i="2" s="1"/>
  <c r="K111" i="2" s="1"/>
  <c r="L111" i="2" s="1"/>
  <c r="M111" i="2" s="1"/>
  <c r="S110" i="2" l="1"/>
  <c r="M14" i="18"/>
  <c r="L14" i="18"/>
  <c r="K14" i="18"/>
  <c r="J14" i="18"/>
  <c r="I14" i="18"/>
  <c r="H14" i="18"/>
  <c r="G14" i="18"/>
  <c r="F14" i="18"/>
  <c r="E14" i="18"/>
  <c r="R112" i="2" l="1"/>
  <c r="C7" i="12" l="1"/>
  <c r="E27" i="5" l="1"/>
  <c r="N21" i="5"/>
  <c r="M21" i="5"/>
  <c r="L21" i="5"/>
  <c r="K21" i="5"/>
  <c r="J21" i="5"/>
  <c r="I21" i="5"/>
  <c r="H21" i="5"/>
  <c r="G21" i="5"/>
  <c r="F21" i="5"/>
  <c r="E21" i="5"/>
  <c r="D8" i="13" l="1"/>
  <c r="F60" i="2"/>
  <c r="G60" i="2" l="1"/>
  <c r="G65" i="2" s="1"/>
  <c r="G6" i="18" s="1"/>
  <c r="F65" i="2"/>
  <c r="F6" i="18" s="1"/>
  <c r="G8" i="5" l="1"/>
  <c r="G8" i="18"/>
  <c r="G57" i="18" s="1"/>
  <c r="G59" i="18" s="1"/>
  <c r="H18" i="5" s="1"/>
  <c r="F8" i="18"/>
  <c r="F57" i="18" s="1"/>
  <c r="F59" i="18" s="1"/>
  <c r="G18" i="5" s="1"/>
  <c r="H8" i="5"/>
  <c r="M23" i="18"/>
  <c r="L23" i="18"/>
  <c r="K23" i="18"/>
  <c r="J23" i="18"/>
  <c r="I23" i="18"/>
  <c r="H23" i="18"/>
  <c r="G23" i="18"/>
  <c r="F23" i="18"/>
  <c r="E23" i="18"/>
  <c r="M22" i="18"/>
  <c r="L22" i="18"/>
  <c r="K22" i="18"/>
  <c r="J22" i="18"/>
  <c r="I22" i="18"/>
  <c r="H22" i="18"/>
  <c r="G22" i="18"/>
  <c r="F22" i="18"/>
  <c r="E22" i="18"/>
  <c r="M15" i="18"/>
  <c r="M16" i="18" s="1"/>
  <c r="L15" i="18"/>
  <c r="L16" i="18" s="1"/>
  <c r="K15" i="18"/>
  <c r="K16" i="18" s="1"/>
  <c r="J15" i="18"/>
  <c r="J16" i="18" s="1"/>
  <c r="I15" i="18"/>
  <c r="I16" i="18" s="1"/>
  <c r="H15" i="18"/>
  <c r="H16" i="18" s="1"/>
  <c r="G15" i="18"/>
  <c r="G16" i="18" s="1"/>
  <c r="G18" i="18" s="1"/>
  <c r="H16" i="5" s="1"/>
  <c r="F15" i="18"/>
  <c r="F16" i="18" s="1"/>
  <c r="F18" i="18" s="1"/>
  <c r="G16" i="5" s="1"/>
  <c r="E15" i="18"/>
  <c r="E16" i="18" s="1"/>
  <c r="E18" i="18" s="1"/>
  <c r="F16" i="5" s="1"/>
  <c r="J18" i="18" l="1"/>
  <c r="K16" i="5" s="1"/>
  <c r="K18" i="18"/>
  <c r="L16" i="5" s="1"/>
  <c r="H18" i="18"/>
  <c r="I16" i="5" s="1"/>
  <c r="L18" i="18"/>
  <c r="M16" i="5" s="1"/>
  <c r="I18" i="18"/>
  <c r="J16" i="5" s="1"/>
  <c r="M18" i="18"/>
  <c r="N16" i="5" s="1"/>
  <c r="F24" i="18"/>
  <c r="F26" i="18" s="1"/>
  <c r="G10" i="5" s="1"/>
  <c r="E24" i="18"/>
  <c r="E26" i="18" s="1"/>
  <c r="F10" i="5" s="1"/>
  <c r="I24" i="18"/>
  <c r="I26" i="18" s="1"/>
  <c r="M24" i="18"/>
  <c r="M26" i="18" s="1"/>
  <c r="H24" i="18"/>
  <c r="H26" i="18" s="1"/>
  <c r="L24" i="18"/>
  <c r="L26" i="18" s="1"/>
  <c r="J24" i="18"/>
  <c r="J26" i="18" s="1"/>
  <c r="G24" i="18"/>
  <c r="G26" i="18" s="1"/>
  <c r="H10" i="5" s="1"/>
  <c r="K24" i="18"/>
  <c r="K26" i="18" s="1"/>
  <c r="F13" i="12" l="1"/>
  <c r="G13" i="12"/>
  <c r="E13" i="12"/>
  <c r="E11" i="19" l="1"/>
  <c r="F11" i="19"/>
  <c r="C16" i="12"/>
  <c r="D127" i="2"/>
  <c r="E127" i="2"/>
  <c r="I127" i="2" l="1"/>
  <c r="F127" i="2"/>
  <c r="H127" i="2"/>
  <c r="G127" i="2"/>
  <c r="J127" i="2" l="1"/>
  <c r="K127" i="2" l="1"/>
  <c r="E38" i="2"/>
  <c r="E37" i="2"/>
  <c r="E36" i="2"/>
  <c r="E35" i="2"/>
  <c r="E34" i="2"/>
  <c r="E33" i="2"/>
  <c r="E32" i="2"/>
  <c r="C30" i="7" l="1"/>
  <c r="C32" i="7"/>
  <c r="C27" i="7"/>
  <c r="C31" i="7"/>
  <c r="C28" i="7"/>
  <c r="C29" i="7"/>
  <c r="C33" i="7"/>
  <c r="M127" i="2"/>
  <c r="L127" i="2"/>
  <c r="F29" i="7" l="1"/>
  <c r="G29" i="7" s="1"/>
  <c r="F31" i="7"/>
  <c r="F32" i="7"/>
  <c r="F33" i="7"/>
  <c r="G33" i="7" s="1"/>
  <c r="F28" i="7"/>
  <c r="G28" i="7" s="1"/>
  <c r="F27" i="7"/>
  <c r="F30" i="7"/>
  <c r="G30" i="7" s="1"/>
  <c r="H14" i="2"/>
  <c r="H33" i="7" l="1"/>
  <c r="C23" i="2"/>
  <c r="C20" i="2"/>
  <c r="E109" i="7" l="1"/>
  <c r="F109" i="7"/>
  <c r="G109" i="7"/>
  <c r="H109" i="7"/>
  <c r="E110" i="7"/>
  <c r="F110" i="7"/>
  <c r="G110" i="7"/>
  <c r="H110" i="7"/>
  <c r="I110" i="7"/>
  <c r="D116" i="2"/>
  <c r="E15" i="5" s="1"/>
  <c r="F117" i="2"/>
  <c r="G117" i="2" s="1"/>
  <c r="H117" i="2" s="1"/>
  <c r="I117" i="2" s="1"/>
  <c r="J117" i="2" s="1"/>
  <c r="K117" i="2" s="1"/>
  <c r="L117" i="2" s="1"/>
  <c r="M117" i="2" s="1"/>
  <c r="O113" i="7"/>
  <c r="N113" i="7"/>
  <c r="M113" i="7"/>
  <c r="L113" i="7"/>
  <c r="K113" i="7"/>
  <c r="J113" i="7"/>
  <c r="I113" i="7"/>
  <c r="H113" i="7"/>
  <c r="G113" i="7"/>
  <c r="F113" i="7"/>
  <c r="D23" i="18"/>
  <c r="C23" i="18" s="1"/>
  <c r="D22" i="18"/>
  <c r="D14" i="18"/>
  <c r="D16" i="18" s="1"/>
  <c r="D18" i="18" s="1"/>
  <c r="E16" i="5" s="1"/>
  <c r="D24" i="18" l="1"/>
  <c r="D26" i="18" s="1"/>
  <c r="E10" i="5" s="1"/>
  <c r="D13" i="12" s="1"/>
  <c r="C22" i="18"/>
  <c r="C14" i="18"/>
  <c r="E116" i="2"/>
  <c r="F15" i="5" s="1"/>
  <c r="D11" i="19" l="1"/>
  <c r="F116" i="2"/>
  <c r="G15" i="5" s="1"/>
  <c r="G116" i="2" l="1"/>
  <c r="H15" i="5" s="1"/>
  <c r="H116" i="2" l="1"/>
  <c r="I15" i="5" s="1"/>
  <c r="D120" i="2"/>
  <c r="I116" i="2" l="1"/>
  <c r="J15" i="5" s="1"/>
  <c r="E120" i="2"/>
  <c r="J116" i="2" l="1"/>
  <c r="K15" i="5" s="1"/>
  <c r="F120" i="2"/>
  <c r="K116" i="2" l="1"/>
  <c r="L15" i="5" s="1"/>
  <c r="G120" i="2"/>
  <c r="L116" i="2" l="1"/>
  <c r="M15" i="5" s="1"/>
  <c r="H120" i="2"/>
  <c r="M116" i="2" l="1"/>
  <c r="N15" i="5" s="1"/>
  <c r="I120" i="2"/>
  <c r="J120" i="2" l="1"/>
  <c r="K120" i="2" l="1"/>
  <c r="L120" i="2" l="1"/>
  <c r="M120" i="2" l="1"/>
  <c r="M113" i="2" l="1"/>
  <c r="L113" i="2"/>
  <c r="K113" i="2"/>
  <c r="J113" i="2"/>
  <c r="I113" i="2"/>
  <c r="H113" i="2"/>
  <c r="G113" i="2"/>
  <c r="F113" i="2"/>
  <c r="E113" i="2"/>
  <c r="D113" i="2"/>
  <c r="E22" i="5" l="1"/>
  <c r="C39" i="2"/>
  <c r="J15" i="14" l="1"/>
  <c r="D14" i="13"/>
  <c r="AB101" i="11" l="1"/>
  <c r="AA101" i="11"/>
  <c r="Z101" i="11"/>
  <c r="Y101" i="11"/>
  <c r="X101" i="11"/>
  <c r="W101" i="11"/>
  <c r="V101" i="11"/>
  <c r="U101" i="11"/>
  <c r="T101" i="11"/>
  <c r="AB100" i="11"/>
  <c r="AA100" i="11"/>
  <c r="Z100" i="11"/>
  <c r="Y100" i="11"/>
  <c r="X100" i="11"/>
  <c r="W100" i="11"/>
  <c r="V100" i="11"/>
  <c r="U100" i="11"/>
  <c r="T100" i="11"/>
  <c r="AB53" i="11"/>
  <c r="AA53" i="11"/>
  <c r="Z53" i="11"/>
  <c r="Y53" i="11"/>
  <c r="X53" i="11"/>
  <c r="W53" i="11"/>
  <c r="V53" i="11"/>
  <c r="U53" i="11"/>
  <c r="T53" i="11"/>
  <c r="S53" i="11"/>
  <c r="AB94" i="11"/>
  <c r="AA94" i="11"/>
  <c r="Z94" i="11"/>
  <c r="Y94" i="11"/>
  <c r="X94" i="11"/>
  <c r="W94" i="11"/>
  <c r="V94" i="11"/>
  <c r="U94" i="11"/>
  <c r="T94" i="11"/>
  <c r="S94" i="11"/>
  <c r="R94" i="11"/>
  <c r="AB87" i="11"/>
  <c r="AA87" i="11"/>
  <c r="Z87" i="11"/>
  <c r="Y87" i="11"/>
  <c r="X87" i="11"/>
  <c r="W87" i="11"/>
  <c r="V87" i="11"/>
  <c r="U87" i="11"/>
  <c r="T87" i="11"/>
  <c r="AB80" i="11"/>
  <c r="AA80" i="11"/>
  <c r="Z80" i="11"/>
  <c r="Y80" i="11"/>
  <c r="X80" i="11"/>
  <c r="W80" i="11"/>
  <c r="V80" i="11"/>
  <c r="U80" i="11"/>
  <c r="T80" i="11"/>
  <c r="S80" i="11"/>
  <c r="AB73" i="11"/>
  <c r="AA73" i="11"/>
  <c r="Z73" i="11"/>
  <c r="Y73" i="11"/>
  <c r="X73" i="11"/>
  <c r="W73" i="11"/>
  <c r="V73" i="11"/>
  <c r="U73" i="11"/>
  <c r="T73" i="11"/>
  <c r="S73" i="11"/>
  <c r="AB66" i="11"/>
  <c r="AA66" i="11"/>
  <c r="Z66" i="11"/>
  <c r="Y66" i="11"/>
  <c r="X66" i="11"/>
  <c r="W66" i="11"/>
  <c r="V66" i="11"/>
  <c r="U66" i="11"/>
  <c r="T66" i="11"/>
  <c r="S66" i="11"/>
  <c r="AB59" i="11"/>
  <c r="AA59" i="11"/>
  <c r="Z59" i="11"/>
  <c r="Y59" i="11"/>
  <c r="X59" i="11"/>
  <c r="W59" i="11"/>
  <c r="V59" i="11"/>
  <c r="U59" i="11"/>
  <c r="T59" i="11"/>
  <c r="S59" i="11"/>
  <c r="AB52" i="11"/>
  <c r="AA52" i="11"/>
  <c r="Z52" i="11"/>
  <c r="Y52" i="11"/>
  <c r="X52" i="11"/>
  <c r="W52" i="11"/>
  <c r="V52" i="11"/>
  <c r="U52" i="11"/>
  <c r="T52" i="11"/>
  <c r="R52" i="11"/>
  <c r="W104" i="11" l="1"/>
  <c r="AA104" i="11"/>
  <c r="U104" i="11"/>
  <c r="Y104" i="11"/>
  <c r="V104" i="11"/>
  <c r="Z104" i="11"/>
  <c r="T104" i="11"/>
  <c r="X104" i="11"/>
  <c r="AB104" i="11"/>
  <c r="R86" i="11" l="1"/>
  <c r="R79" i="11"/>
  <c r="R72" i="11"/>
  <c r="R65" i="11"/>
  <c r="R58" i="11"/>
  <c r="R35" i="11" l="1"/>
  <c r="R38" i="11" s="1"/>
  <c r="S34" i="11" s="1"/>
  <c r="R28" i="11"/>
  <c r="AB22" i="11"/>
  <c r="AB7" i="11" s="1"/>
  <c r="AA22" i="11"/>
  <c r="AA7" i="11" s="1"/>
  <c r="Z22" i="11"/>
  <c r="Z7" i="11" s="1"/>
  <c r="Y22" i="11"/>
  <c r="Y7" i="11" s="1"/>
  <c r="X22" i="11"/>
  <c r="X7" i="11" s="1"/>
  <c r="W22" i="11"/>
  <c r="W7" i="11" s="1"/>
  <c r="V22" i="11"/>
  <c r="V7" i="11" s="1"/>
  <c r="U22" i="11"/>
  <c r="U7" i="11" s="1"/>
  <c r="T22" i="11"/>
  <c r="T7" i="11" s="1"/>
  <c r="S22" i="11"/>
  <c r="S7" i="11" s="1"/>
  <c r="R22" i="11"/>
  <c r="R21" i="11"/>
  <c r="R20" i="11"/>
  <c r="R15" i="11"/>
  <c r="R24" i="11" l="1"/>
  <c r="S20" i="11" s="1"/>
  <c r="O7" i="11"/>
  <c r="N7" i="11"/>
  <c r="M7" i="11"/>
  <c r="L7" i="11"/>
  <c r="K7" i="11"/>
  <c r="J7" i="11"/>
  <c r="I7" i="11"/>
  <c r="H7" i="11"/>
  <c r="G7" i="11"/>
  <c r="F7" i="11"/>
  <c r="C43" i="11"/>
  <c r="C15" i="12" l="1"/>
  <c r="C14" i="12"/>
  <c r="C13" i="12"/>
  <c r="C11" i="19" s="1"/>
  <c r="C9" i="12"/>
  <c r="C5" i="12"/>
  <c r="J16" i="14" l="1"/>
  <c r="J17" i="14" s="1"/>
  <c r="J4" i="14"/>
  <c r="J3" i="14"/>
  <c r="M16" i="14"/>
  <c r="L16" i="14"/>
  <c r="K16" i="14"/>
  <c r="D14" i="12"/>
  <c r="D15" i="12"/>
  <c r="D5" i="12"/>
  <c r="F87" i="11"/>
  <c r="S87" i="11" s="1"/>
  <c r="G17" i="10"/>
  <c r="C8" i="12" s="1"/>
  <c r="E83" i="10"/>
  <c r="F83" i="10" s="1"/>
  <c r="G83" i="10" s="1"/>
  <c r="D14" i="11"/>
  <c r="D8" i="11"/>
  <c r="D7" i="11"/>
  <c r="D5" i="11"/>
  <c r="F20" i="11"/>
  <c r="C13" i="19" l="1"/>
  <c r="C12" i="19"/>
  <c r="E5" i="12"/>
  <c r="E14" i="12"/>
  <c r="E15" i="12"/>
  <c r="O104" i="11"/>
  <c r="N104" i="11"/>
  <c r="M104" i="11"/>
  <c r="L104" i="11"/>
  <c r="K104" i="11"/>
  <c r="J104" i="11"/>
  <c r="I104" i="11"/>
  <c r="H104" i="11"/>
  <c r="G104" i="11"/>
  <c r="F52" i="11"/>
  <c r="S52" i="11" s="1"/>
  <c r="E101" i="11"/>
  <c r="R101" i="11" s="1"/>
  <c r="D104" i="11"/>
  <c r="E100" i="11" s="1"/>
  <c r="R100" i="11" s="1"/>
  <c r="D97" i="11"/>
  <c r="E89" i="11"/>
  <c r="E87" i="11"/>
  <c r="R87" i="11" s="1"/>
  <c r="D90" i="11"/>
  <c r="E86" i="11" s="1"/>
  <c r="E82" i="11"/>
  <c r="E80" i="11"/>
  <c r="R80" i="11" s="1"/>
  <c r="D83" i="11"/>
  <c r="E79" i="11" s="1"/>
  <c r="E73" i="11"/>
  <c r="R73" i="11" s="1"/>
  <c r="D76" i="11"/>
  <c r="E72" i="11" s="1"/>
  <c r="E75" i="11"/>
  <c r="E68" i="11"/>
  <c r="E66" i="11"/>
  <c r="R66" i="11" s="1"/>
  <c r="R68" i="11" s="1"/>
  <c r="R69" i="11" s="1"/>
  <c r="S65" i="11" s="1"/>
  <c r="D69" i="11"/>
  <c r="E65" i="11" s="1"/>
  <c r="E61" i="11"/>
  <c r="E59" i="11"/>
  <c r="R59" i="11" s="1"/>
  <c r="R61" i="11" s="1"/>
  <c r="R62" i="11" s="1"/>
  <c r="S58" i="11" s="1"/>
  <c r="S61" i="11" s="1"/>
  <c r="S62" i="11" s="1"/>
  <c r="T58" i="11" s="1"/>
  <c r="T61" i="11" s="1"/>
  <c r="T62" i="11" s="1"/>
  <c r="U58" i="11" s="1"/>
  <c r="U61" i="11" s="1"/>
  <c r="U62" i="11" s="1"/>
  <c r="V58" i="11" s="1"/>
  <c r="V61" i="11" s="1"/>
  <c r="V62" i="11" s="1"/>
  <c r="W58" i="11" s="1"/>
  <c r="W61" i="11" s="1"/>
  <c r="W62" i="11" s="1"/>
  <c r="X58" i="11" s="1"/>
  <c r="X61" i="11" s="1"/>
  <c r="X62" i="11" s="1"/>
  <c r="Y58" i="11" s="1"/>
  <c r="D62" i="11"/>
  <c r="E58" i="11" s="1"/>
  <c r="E54" i="11"/>
  <c r="D55" i="11"/>
  <c r="E51" i="11" s="1"/>
  <c r="R51" i="11" s="1"/>
  <c r="E53" i="11"/>
  <c r="O14" i="11"/>
  <c r="N14" i="11"/>
  <c r="D13" i="19" l="1"/>
  <c r="D12" i="19"/>
  <c r="R104" i="11"/>
  <c r="E7" i="11"/>
  <c r="R53" i="11"/>
  <c r="R7" i="11" s="1"/>
  <c r="R82" i="11"/>
  <c r="R83" i="11" s="1"/>
  <c r="S79" i="11" s="1"/>
  <c r="S68" i="11"/>
  <c r="S69" i="11" s="1"/>
  <c r="T65" i="11" s="1"/>
  <c r="T68" i="11" s="1"/>
  <c r="T69" i="11" s="1"/>
  <c r="U65" i="11" s="1"/>
  <c r="R75" i="11"/>
  <c r="R76" i="11" s="1"/>
  <c r="S72" i="11" s="1"/>
  <c r="Y61" i="11"/>
  <c r="Y62" i="11" s="1"/>
  <c r="Z58" i="11" s="1"/>
  <c r="R89" i="11"/>
  <c r="R90" i="11" s="1"/>
  <c r="S86" i="11" s="1"/>
  <c r="S89" i="11" s="1"/>
  <c r="S90" i="11" s="1"/>
  <c r="T86" i="11" s="1"/>
  <c r="T89" i="11" s="1"/>
  <c r="T90" i="11" s="1"/>
  <c r="U86" i="11" s="1"/>
  <c r="U89" i="11" s="1"/>
  <c r="U90" i="11" s="1"/>
  <c r="V86" i="11" s="1"/>
  <c r="AA14" i="11"/>
  <c r="AB14" i="11"/>
  <c r="F14" i="12"/>
  <c r="F5" i="12"/>
  <c r="E8" i="11"/>
  <c r="E93" i="11"/>
  <c r="F15" i="12"/>
  <c r="E69" i="11"/>
  <c r="F65" i="11" s="1"/>
  <c r="F68" i="11" s="1"/>
  <c r="F69" i="11" s="1"/>
  <c r="G65" i="11" s="1"/>
  <c r="G68" i="11" s="1"/>
  <c r="G69" i="11" s="1"/>
  <c r="H65" i="11" s="1"/>
  <c r="H68" i="11" s="1"/>
  <c r="H69" i="11" s="1"/>
  <c r="I65" i="11" s="1"/>
  <c r="E76" i="11"/>
  <c r="F72" i="11" s="1"/>
  <c r="F75" i="11" s="1"/>
  <c r="E62" i="11"/>
  <c r="F58" i="11" s="1"/>
  <c r="F61" i="11" s="1"/>
  <c r="F62" i="11" s="1"/>
  <c r="G58" i="11" s="1"/>
  <c r="G61" i="11" s="1"/>
  <c r="G62" i="11" s="1"/>
  <c r="H58" i="11" s="1"/>
  <c r="E90" i="11"/>
  <c r="F86" i="11" s="1"/>
  <c r="F89" i="11" s="1"/>
  <c r="F90" i="11" s="1"/>
  <c r="G86" i="11" s="1"/>
  <c r="G89" i="11" s="1"/>
  <c r="G90" i="11" s="1"/>
  <c r="H86" i="11" s="1"/>
  <c r="H89" i="11" s="1"/>
  <c r="H90" i="11" s="1"/>
  <c r="I86" i="11" s="1"/>
  <c r="E104" i="11"/>
  <c r="E83" i="11"/>
  <c r="F79" i="11" s="1"/>
  <c r="F82" i="11" s="1"/>
  <c r="E55" i="11"/>
  <c r="F51" i="11" s="1"/>
  <c r="F54" i="11" s="1"/>
  <c r="D17" i="11"/>
  <c r="E12" i="19" l="1"/>
  <c r="E13" i="19"/>
  <c r="R54" i="11"/>
  <c r="R55" i="11" s="1"/>
  <c r="S51" i="11" s="1"/>
  <c r="S54" i="11" s="1"/>
  <c r="S55" i="11" s="1"/>
  <c r="T51" i="11" s="1"/>
  <c r="V89" i="11"/>
  <c r="V90" i="11" s="1"/>
  <c r="W86" i="11" s="1"/>
  <c r="S82" i="11"/>
  <c r="S83" i="11" s="1"/>
  <c r="T79" i="11" s="1"/>
  <c r="Z61" i="11"/>
  <c r="Z62" i="11" s="1"/>
  <c r="AA58" i="11" s="1"/>
  <c r="AA61" i="11" s="1"/>
  <c r="AA62" i="11" s="1"/>
  <c r="AB58" i="11" s="1"/>
  <c r="AB61" i="11" s="1"/>
  <c r="AB62" i="11" s="1"/>
  <c r="E97" i="11"/>
  <c r="F93" i="11" s="1"/>
  <c r="F97" i="11" s="1"/>
  <c r="G93" i="11" s="1"/>
  <c r="G97" i="11" s="1"/>
  <c r="R93" i="11"/>
  <c r="R97" i="11" s="1"/>
  <c r="S93" i="11" s="1"/>
  <c r="S97" i="11" s="1"/>
  <c r="T93" i="11" s="1"/>
  <c r="T97" i="11" s="1"/>
  <c r="U93" i="11" s="1"/>
  <c r="U97" i="11" s="1"/>
  <c r="V93" i="11" s="1"/>
  <c r="V97" i="11" s="1"/>
  <c r="W93" i="11" s="1"/>
  <c r="W97" i="11" s="1"/>
  <c r="X93" i="11" s="1"/>
  <c r="X97" i="11" s="1"/>
  <c r="Y93" i="11" s="1"/>
  <c r="Y97" i="11" s="1"/>
  <c r="Z93" i="11" s="1"/>
  <c r="Z97" i="11" s="1"/>
  <c r="AA93" i="11" s="1"/>
  <c r="AA97" i="11" s="1"/>
  <c r="AB93" i="11" s="1"/>
  <c r="AB97" i="11" s="1"/>
  <c r="S75" i="11"/>
  <c r="S76" i="11" s="1"/>
  <c r="T72" i="11" s="1"/>
  <c r="R8" i="11"/>
  <c r="U68" i="11"/>
  <c r="U69" i="11" s="1"/>
  <c r="V65" i="11" s="1"/>
  <c r="G5" i="12"/>
  <c r="G14" i="12"/>
  <c r="G65" i="10"/>
  <c r="G15" i="12"/>
  <c r="F13" i="19" s="1"/>
  <c r="F83" i="11"/>
  <c r="G79" i="11" s="1"/>
  <c r="G82" i="11" s="1"/>
  <c r="G83" i="11" s="1"/>
  <c r="H79" i="11" s="1"/>
  <c r="H82" i="11" s="1"/>
  <c r="H83" i="11" s="1"/>
  <c r="I79" i="11" s="1"/>
  <c r="I82" i="11" s="1"/>
  <c r="I83" i="11" s="1"/>
  <c r="J79" i="11" s="1"/>
  <c r="F76" i="11"/>
  <c r="G72" i="11" s="1"/>
  <c r="G75" i="11" s="1"/>
  <c r="G76" i="11" s="1"/>
  <c r="H72" i="11" s="1"/>
  <c r="H75" i="11" s="1"/>
  <c r="H76" i="11" s="1"/>
  <c r="I72" i="11" s="1"/>
  <c r="I75" i="11" s="1"/>
  <c r="I76" i="11" s="1"/>
  <c r="J72" i="11" s="1"/>
  <c r="J75" i="11" s="1"/>
  <c r="J76" i="11" s="1"/>
  <c r="K72" i="11" s="1"/>
  <c r="F55" i="11"/>
  <c r="G51" i="11" s="1"/>
  <c r="G54" i="11" s="1"/>
  <c r="F100" i="11"/>
  <c r="S100" i="11" s="1"/>
  <c r="G29" i="10"/>
  <c r="E13" i="11"/>
  <c r="D9" i="11"/>
  <c r="H61" i="11"/>
  <c r="H62" i="11" s="1"/>
  <c r="I58" i="11" s="1"/>
  <c r="I61" i="11" s="1"/>
  <c r="I62" i="11" s="1"/>
  <c r="J58" i="11" s="1"/>
  <c r="I89" i="11"/>
  <c r="I90" i="11" s="1"/>
  <c r="J86" i="11" s="1"/>
  <c r="I68" i="11"/>
  <c r="I69" i="11" s="1"/>
  <c r="J65" i="11" s="1"/>
  <c r="G12" i="19" l="1"/>
  <c r="F12" i="19"/>
  <c r="V68" i="11"/>
  <c r="V69" i="11" s="1"/>
  <c r="W65" i="11" s="1"/>
  <c r="T54" i="11"/>
  <c r="T55" i="11" s="1"/>
  <c r="U51" i="11" s="1"/>
  <c r="U54" i="11" s="1"/>
  <c r="U55" i="11" s="1"/>
  <c r="V51" i="11" s="1"/>
  <c r="T75" i="11"/>
  <c r="T76" i="11" s="1"/>
  <c r="U72" i="11" s="1"/>
  <c r="W89" i="11"/>
  <c r="W90" i="11" s="1"/>
  <c r="X86" i="11" s="1"/>
  <c r="X89" i="11" s="1"/>
  <c r="X90" i="11" s="1"/>
  <c r="Y86" i="11" s="1"/>
  <c r="Y89" i="11" s="1"/>
  <c r="Y90" i="11" s="1"/>
  <c r="Z86" i="11" s="1"/>
  <c r="T82" i="11"/>
  <c r="T83" i="11" s="1"/>
  <c r="U79" i="11" s="1"/>
  <c r="E5" i="11"/>
  <c r="R13" i="11"/>
  <c r="R5" i="11" s="1"/>
  <c r="H14" i="12"/>
  <c r="H5" i="12"/>
  <c r="G55" i="11"/>
  <c r="H51" i="11" s="1"/>
  <c r="H54" i="11" s="1"/>
  <c r="H93" i="11"/>
  <c r="H15" i="12"/>
  <c r="F101" i="11"/>
  <c r="J89" i="11"/>
  <c r="J90" i="11" s="1"/>
  <c r="K86" i="11" s="1"/>
  <c r="J82" i="11"/>
  <c r="J83" i="11" s="1"/>
  <c r="K79" i="11" s="1"/>
  <c r="K75" i="11"/>
  <c r="K76" i="11" s="1"/>
  <c r="L72" i="11" s="1"/>
  <c r="J68" i="11"/>
  <c r="J69" i="11" s="1"/>
  <c r="K65" i="11" s="1"/>
  <c r="J61" i="11"/>
  <c r="J62" i="11" s="1"/>
  <c r="K58" i="11" s="1"/>
  <c r="G13" i="19" l="1"/>
  <c r="U75" i="11"/>
  <c r="U76" i="11" s="1"/>
  <c r="V72" i="11" s="1"/>
  <c r="V75" i="11" s="1"/>
  <c r="V76" i="11" s="1"/>
  <c r="W72" i="11" s="1"/>
  <c r="W75" i="11" s="1"/>
  <c r="W76" i="11" s="1"/>
  <c r="X72" i="11" s="1"/>
  <c r="X75" i="11" s="1"/>
  <c r="X76" i="11" s="1"/>
  <c r="Y72" i="11" s="1"/>
  <c r="U82" i="11"/>
  <c r="U83" i="11" s="1"/>
  <c r="V79" i="11" s="1"/>
  <c r="W68" i="11"/>
  <c r="W69" i="11" s="1"/>
  <c r="X65" i="11" s="1"/>
  <c r="V54" i="11"/>
  <c r="V55" i="11" s="1"/>
  <c r="W51" i="11" s="1"/>
  <c r="Z89" i="11"/>
  <c r="Z90" i="11" s="1"/>
  <c r="AA86" i="11" s="1"/>
  <c r="F104" i="11"/>
  <c r="S101" i="11"/>
  <c r="S104" i="11" s="1"/>
  <c r="I5" i="12"/>
  <c r="I14" i="12"/>
  <c r="H55" i="11"/>
  <c r="I51" i="11" s="1"/>
  <c r="I54" i="11" s="1"/>
  <c r="I55" i="11" s="1"/>
  <c r="J51" i="11" s="1"/>
  <c r="J54" i="11" s="1"/>
  <c r="H97" i="11"/>
  <c r="I15" i="12"/>
  <c r="K89" i="11"/>
  <c r="K90" i="11" s="1"/>
  <c r="L86" i="11" s="1"/>
  <c r="K82" i="11"/>
  <c r="K83" i="11" s="1"/>
  <c r="L79" i="11" s="1"/>
  <c r="L75" i="11"/>
  <c r="L76" i="11" s="1"/>
  <c r="M72" i="11" s="1"/>
  <c r="K68" i="11"/>
  <c r="K69" i="11" s="1"/>
  <c r="L65" i="11" s="1"/>
  <c r="K61" i="11"/>
  <c r="K62" i="11" s="1"/>
  <c r="L58" i="11" s="1"/>
  <c r="H12" i="19" l="1"/>
  <c r="H13" i="19"/>
  <c r="X68" i="11"/>
  <c r="X69" i="11" s="1"/>
  <c r="Y65" i="11" s="1"/>
  <c r="AA89" i="11"/>
  <c r="AA90" i="11" s="1"/>
  <c r="AB86" i="11" s="1"/>
  <c r="AB89" i="11" s="1"/>
  <c r="AB90" i="11" s="1"/>
  <c r="W54" i="11"/>
  <c r="W55" i="11" s="1"/>
  <c r="X51" i="11" s="1"/>
  <c r="X54" i="11" s="1"/>
  <c r="X55" i="11" s="1"/>
  <c r="Y51" i="11" s="1"/>
  <c r="Y54" i="11" s="1"/>
  <c r="Y55" i="11" s="1"/>
  <c r="Z51" i="11" s="1"/>
  <c r="Z54" i="11" s="1"/>
  <c r="Z55" i="11" s="1"/>
  <c r="AA51" i="11" s="1"/>
  <c r="AA54" i="11" s="1"/>
  <c r="AA55" i="11" s="1"/>
  <c r="AB51" i="11" s="1"/>
  <c r="AB54" i="11" s="1"/>
  <c r="AB55" i="11" s="1"/>
  <c r="Y75" i="11"/>
  <c r="Y76" i="11" s="1"/>
  <c r="Z72" i="11" s="1"/>
  <c r="V82" i="11"/>
  <c r="V83" i="11" s="1"/>
  <c r="W79" i="11" s="1"/>
  <c r="W82" i="11" s="1"/>
  <c r="W83" i="11" s="1"/>
  <c r="X79" i="11" s="1"/>
  <c r="X82" i="11" s="1"/>
  <c r="X83" i="11" s="1"/>
  <c r="Y79" i="11" s="1"/>
  <c r="J14" i="12"/>
  <c r="J5" i="12"/>
  <c r="I93" i="11"/>
  <c r="J15" i="12"/>
  <c r="J55" i="11"/>
  <c r="K51" i="11" s="1"/>
  <c r="K54" i="11" s="1"/>
  <c r="L89" i="11"/>
  <c r="L90" i="11" s="1"/>
  <c r="M86" i="11" s="1"/>
  <c r="L82" i="11"/>
  <c r="L83" i="11" s="1"/>
  <c r="M79" i="11" s="1"/>
  <c r="M75" i="11"/>
  <c r="M76" i="11" s="1"/>
  <c r="N72" i="11" s="1"/>
  <c r="L68" i="11"/>
  <c r="L69" i="11" s="1"/>
  <c r="M65" i="11" s="1"/>
  <c r="L61" i="11"/>
  <c r="L62" i="11" s="1"/>
  <c r="M58" i="11" s="1"/>
  <c r="I13" i="19" l="1"/>
  <c r="I12" i="19"/>
  <c r="Y82" i="11"/>
  <c r="Y83" i="11" s="1"/>
  <c r="Z79" i="11" s="1"/>
  <c r="Z75" i="11"/>
  <c r="Z76" i="11" s="1"/>
  <c r="AA72" i="11" s="1"/>
  <c r="AA75" i="11" s="1"/>
  <c r="AA76" i="11" s="1"/>
  <c r="AB72" i="11" s="1"/>
  <c r="AB75" i="11" s="1"/>
  <c r="AB76" i="11" s="1"/>
  <c r="Y68" i="11"/>
  <c r="Y69" i="11" s="1"/>
  <c r="Z65" i="11" s="1"/>
  <c r="K5" i="12"/>
  <c r="K14" i="12"/>
  <c r="J12" i="19" s="1"/>
  <c r="I97" i="11"/>
  <c r="K15" i="12"/>
  <c r="J13" i="19" s="1"/>
  <c r="K55" i="11"/>
  <c r="L51" i="11" s="1"/>
  <c r="L54" i="11" s="1"/>
  <c r="M89" i="11"/>
  <c r="M90" i="11" s="1"/>
  <c r="N86" i="11" s="1"/>
  <c r="M82" i="11"/>
  <c r="M83" i="11" s="1"/>
  <c r="N79" i="11" s="1"/>
  <c r="N75" i="11"/>
  <c r="N76" i="11" s="1"/>
  <c r="O72" i="11" s="1"/>
  <c r="M68" i="11"/>
  <c r="M69" i="11" s="1"/>
  <c r="N65" i="11" s="1"/>
  <c r="M61" i="11"/>
  <c r="M62" i="11" s="1"/>
  <c r="N58" i="11" s="1"/>
  <c r="Z68" i="11" l="1"/>
  <c r="Z69" i="11" s="1"/>
  <c r="AA65" i="11" s="1"/>
  <c r="Z82" i="11"/>
  <c r="Z83" i="11" s="1"/>
  <c r="AA79" i="11" s="1"/>
  <c r="AA82" i="11" s="1"/>
  <c r="AA83" i="11" s="1"/>
  <c r="AB79" i="11" s="1"/>
  <c r="AB82" i="11" s="1"/>
  <c r="AB83" i="11" s="1"/>
  <c r="L14" i="12"/>
  <c r="L5" i="12"/>
  <c r="L55" i="11"/>
  <c r="M51" i="11" s="1"/>
  <c r="M54" i="11" s="1"/>
  <c r="J93" i="11"/>
  <c r="L15" i="12"/>
  <c r="K13" i="19" s="1"/>
  <c r="N89" i="11"/>
  <c r="N90" i="11" s="1"/>
  <c r="O86" i="11" s="1"/>
  <c r="N82" i="11"/>
  <c r="N83" i="11" s="1"/>
  <c r="O79" i="11" s="1"/>
  <c r="O75" i="11"/>
  <c r="O76" i="11" s="1"/>
  <c r="N68" i="11"/>
  <c r="N69" i="11" s="1"/>
  <c r="O65" i="11" s="1"/>
  <c r="N61" i="11"/>
  <c r="N62" i="11" s="1"/>
  <c r="O58" i="11" s="1"/>
  <c r="K12" i="19" l="1"/>
  <c r="AA68" i="11"/>
  <c r="AA69" i="11" s="1"/>
  <c r="AB65" i="11" s="1"/>
  <c r="M5" i="12"/>
  <c r="M14" i="12"/>
  <c r="L12" i="19" s="1"/>
  <c r="M55" i="11"/>
  <c r="N51" i="11" s="1"/>
  <c r="N54" i="11" s="1"/>
  <c r="J97" i="11"/>
  <c r="M15" i="12"/>
  <c r="L13" i="19" s="1"/>
  <c r="O89" i="11"/>
  <c r="O90" i="11" s="1"/>
  <c r="O82" i="11"/>
  <c r="O83" i="11" s="1"/>
  <c r="O68" i="11"/>
  <c r="O69" i="11" s="1"/>
  <c r="O61" i="11"/>
  <c r="O62" i="11" s="1"/>
  <c r="AB68" i="11" l="1"/>
  <c r="AB69" i="11" s="1"/>
  <c r="N55" i="11"/>
  <c r="O51" i="11" s="1"/>
  <c r="O54" i="11" s="1"/>
  <c r="K93" i="11"/>
  <c r="O55" i="11" l="1"/>
  <c r="K97" i="11"/>
  <c r="L93" i="11" l="1"/>
  <c r="L97" i="11" s="1"/>
  <c r="F85" i="10"/>
  <c r="F6" i="10" s="1"/>
  <c r="F7" i="10" s="1"/>
  <c r="E85" i="10"/>
  <c r="E6" i="10" s="1"/>
  <c r="E7" i="10" s="1"/>
  <c r="D85" i="10"/>
  <c r="G69" i="10"/>
  <c r="F69" i="10"/>
  <c r="E69" i="10"/>
  <c r="D69" i="10"/>
  <c r="F61" i="10"/>
  <c r="E61" i="10"/>
  <c r="D61" i="10"/>
  <c r="G61" i="10"/>
  <c r="F52" i="10"/>
  <c r="F63" i="10" s="1"/>
  <c r="E52" i="10"/>
  <c r="E63" i="10" s="1"/>
  <c r="D52" i="10"/>
  <c r="G52" i="10"/>
  <c r="G42" i="10"/>
  <c r="F42" i="10"/>
  <c r="D42" i="10"/>
  <c r="E42" i="10"/>
  <c r="F35" i="10"/>
  <c r="E35" i="10"/>
  <c r="D35" i="10"/>
  <c r="G21" i="10"/>
  <c r="F21" i="10"/>
  <c r="E21" i="10"/>
  <c r="D21" i="10"/>
  <c r="G13" i="10"/>
  <c r="F13" i="10"/>
  <c r="E13" i="10"/>
  <c r="D13" i="10"/>
  <c r="D7" i="10"/>
  <c r="G63" i="10" l="1"/>
  <c r="G70" i="10" s="1"/>
  <c r="G76" i="10" s="1"/>
  <c r="G84" i="10" s="1"/>
  <c r="G85" i="10" s="1"/>
  <c r="G6" i="10" s="1"/>
  <c r="C6" i="12" s="1"/>
  <c r="C10" i="12" s="1"/>
  <c r="D63" i="10"/>
  <c r="D70" i="10" s="1"/>
  <c r="D76" i="10" s="1"/>
  <c r="F70" i="10"/>
  <c r="F76" i="10" s="1"/>
  <c r="E70" i="10"/>
  <c r="E76" i="10" s="1"/>
  <c r="D23" i="10"/>
  <c r="D44" i="10"/>
  <c r="E23" i="10"/>
  <c r="F23" i="10"/>
  <c r="E44" i="10"/>
  <c r="F44" i="10"/>
  <c r="M93" i="11"/>
  <c r="M97" i="11" s="1"/>
  <c r="F45" i="10" l="1"/>
  <c r="E45" i="10"/>
  <c r="D45" i="10"/>
  <c r="D16" i="13"/>
  <c r="D18" i="13" s="1"/>
  <c r="J11" i="14" s="1"/>
  <c r="G7" i="10"/>
  <c r="G23" i="10" s="1"/>
  <c r="N93" i="11"/>
  <c r="N97" i="11" s="1"/>
  <c r="O93" i="11" l="1"/>
  <c r="O97" i="11" s="1"/>
  <c r="O39" i="2" l="1"/>
  <c r="N39" i="2"/>
  <c r="M39" i="2"/>
  <c r="L39" i="2"/>
  <c r="K39" i="2"/>
  <c r="J39" i="2"/>
  <c r="I39" i="2"/>
  <c r="G52" i="2" s="1"/>
  <c r="H39" i="2"/>
  <c r="F52" i="2" s="1"/>
  <c r="G39" i="2"/>
  <c r="E52" i="2" s="1"/>
  <c r="E53" i="2" s="1"/>
  <c r="E55" i="2" s="1"/>
  <c r="F124" i="7"/>
  <c r="H112" i="7"/>
  <c r="H114" i="7" s="1"/>
  <c r="G112" i="7"/>
  <c r="G114" i="7" s="1"/>
  <c r="F112" i="7"/>
  <c r="F114" i="7" s="1"/>
  <c r="E5" i="18" l="1"/>
  <c r="F7" i="5"/>
  <c r="F53" i="2"/>
  <c r="J52" i="2"/>
  <c r="K52" i="2"/>
  <c r="H52" i="2"/>
  <c r="L52" i="2"/>
  <c r="I52" i="2"/>
  <c r="M52" i="2"/>
  <c r="F4" i="18"/>
  <c r="K3" i="14"/>
  <c r="E48" i="18"/>
  <c r="F48" i="18" s="1"/>
  <c r="G48" i="18" s="1"/>
  <c r="H48" i="18" s="1"/>
  <c r="I48" i="18" s="1"/>
  <c r="J48" i="18" s="1"/>
  <c r="K48" i="18" s="1"/>
  <c r="L48" i="18" s="1"/>
  <c r="M48" i="18" s="1"/>
  <c r="E4" i="18"/>
  <c r="L3" i="14"/>
  <c r="G53" i="2" l="1"/>
  <c r="H53" i="2" s="1"/>
  <c r="I53" i="2" s="1"/>
  <c r="J53" i="2" s="1"/>
  <c r="K53" i="2" s="1"/>
  <c r="L53" i="2" s="1"/>
  <c r="M53" i="2" s="1"/>
  <c r="F55" i="2"/>
  <c r="G118" i="7"/>
  <c r="G125" i="7" s="1"/>
  <c r="G35" i="11" s="1"/>
  <c r="T35" i="11" s="1"/>
  <c r="H118" i="7"/>
  <c r="H125" i="7" s="1"/>
  <c r="H35" i="11" s="1"/>
  <c r="U35" i="11" s="1"/>
  <c r="F118" i="7"/>
  <c r="F5" i="18" l="1"/>
  <c r="G7" i="5"/>
  <c r="G43" i="11"/>
  <c r="F119" i="7"/>
  <c r="F125" i="7"/>
  <c r="F35" i="11" s="1"/>
  <c r="T43" i="11" l="1"/>
  <c r="G45" i="11"/>
  <c r="G46" i="11" s="1"/>
  <c r="H42" i="11" s="1"/>
  <c r="F120" i="7"/>
  <c r="G117" i="7" s="1"/>
  <c r="G119" i="7" s="1"/>
  <c r="T37" i="11" s="1"/>
  <c r="S37" i="11"/>
  <c r="S35" i="11"/>
  <c r="F38" i="11"/>
  <c r="G34" i="11" s="1"/>
  <c r="H43" i="11"/>
  <c r="F126" i="7"/>
  <c r="S38" i="11" l="1"/>
  <c r="T34" i="11" s="1"/>
  <c r="T38" i="11" s="1"/>
  <c r="U34" i="11" s="1"/>
  <c r="I43" i="11"/>
  <c r="T45" i="11"/>
  <c r="T46" i="11" s="1"/>
  <c r="U42" i="11" s="1"/>
  <c r="G120" i="7"/>
  <c r="H117" i="7" s="1"/>
  <c r="H119" i="7" s="1"/>
  <c r="U37" i="11" s="1"/>
  <c r="U43" i="11"/>
  <c r="H45" i="11"/>
  <c r="H46" i="11" s="1"/>
  <c r="I42" i="11" s="1"/>
  <c r="F127" i="7"/>
  <c r="G124" i="7" s="1"/>
  <c r="G126" i="7" s="1"/>
  <c r="H37" i="11" s="1"/>
  <c r="G37" i="11"/>
  <c r="G38" i="11" s="1"/>
  <c r="H34" i="11" s="1"/>
  <c r="I45" i="11" l="1"/>
  <c r="I46" i="11" s="1"/>
  <c r="J42" i="11" s="1"/>
  <c r="U38" i="11"/>
  <c r="V34" i="11" s="1"/>
  <c r="H120" i="7"/>
  <c r="I117" i="7" s="1"/>
  <c r="U45" i="11"/>
  <c r="U46" i="11" s="1"/>
  <c r="V42" i="11" s="1"/>
  <c r="L43" i="11"/>
  <c r="J43" i="11"/>
  <c r="V43" i="11"/>
  <c r="H38" i="11"/>
  <c r="I34" i="11" s="1"/>
  <c r="G127" i="7"/>
  <c r="H124" i="7" s="1"/>
  <c r="H126" i="7" s="1"/>
  <c r="I37" i="11" s="1"/>
  <c r="V45" i="11" l="1"/>
  <c r="V46" i="11" s="1"/>
  <c r="W42" i="11" s="1"/>
  <c r="Y43" i="11"/>
  <c r="K43" i="11"/>
  <c r="M43" i="11"/>
  <c r="W43" i="11"/>
  <c r="J45" i="11"/>
  <c r="J46" i="11" s="1"/>
  <c r="K42" i="11" s="1"/>
  <c r="H127" i="7"/>
  <c r="I124" i="7" s="1"/>
  <c r="W45" i="11" l="1"/>
  <c r="W46" i="11" s="1"/>
  <c r="X42" i="11" s="1"/>
  <c r="N43" i="11"/>
  <c r="K45" i="11"/>
  <c r="K46" i="11" s="1"/>
  <c r="L42" i="11" s="1"/>
  <c r="L45" i="11" s="1"/>
  <c r="L46" i="11" s="1"/>
  <c r="M42" i="11" s="1"/>
  <c r="M45" i="11" s="1"/>
  <c r="M46" i="11" s="1"/>
  <c r="N42" i="11" s="1"/>
  <c r="Z43" i="11"/>
  <c r="X43" i="11"/>
  <c r="X45" i="11" l="1"/>
  <c r="X46" i="11" s="1"/>
  <c r="Y42" i="11" s="1"/>
  <c r="Y45" i="11" s="1"/>
  <c r="Y46" i="11" s="1"/>
  <c r="Z42" i="11" s="1"/>
  <c r="Z45" i="11" s="1"/>
  <c r="Z46" i="11" s="1"/>
  <c r="AA42" i="11" s="1"/>
  <c r="O43" i="11"/>
  <c r="AA43" i="11"/>
  <c r="N45" i="11"/>
  <c r="N46" i="11" s="1"/>
  <c r="O42" i="11" s="1"/>
  <c r="AA45" i="11" l="1"/>
  <c r="AA46" i="11" s="1"/>
  <c r="AB42" i="11" s="1"/>
  <c r="AB43" i="11"/>
  <c r="O45" i="11"/>
  <c r="O46" i="11" s="1"/>
  <c r="AB45" i="11" l="1"/>
  <c r="AB46" i="11" s="1"/>
  <c r="C99" i="7" l="1"/>
  <c r="C98" i="7"/>
  <c r="C97" i="7"/>
  <c r="C96" i="7"/>
  <c r="C95" i="7"/>
  <c r="C94" i="7"/>
  <c r="C93" i="7"/>
  <c r="C88" i="7"/>
  <c r="C87" i="7"/>
  <c r="C86" i="7"/>
  <c r="C85" i="7"/>
  <c r="C84" i="7"/>
  <c r="C83" i="7"/>
  <c r="C82" i="7"/>
  <c r="D76" i="7"/>
  <c r="D75" i="7"/>
  <c r="D74" i="7"/>
  <c r="D73" i="7"/>
  <c r="D72" i="7"/>
  <c r="D71" i="7"/>
  <c r="D70" i="7"/>
  <c r="C76" i="7"/>
  <c r="C75" i="7"/>
  <c r="C74" i="7"/>
  <c r="C73" i="7"/>
  <c r="C72" i="7"/>
  <c r="C71" i="7"/>
  <c r="C70" i="7"/>
  <c r="C65" i="7"/>
  <c r="C64" i="7"/>
  <c r="C63" i="7"/>
  <c r="C62" i="7"/>
  <c r="C61" i="7"/>
  <c r="C60" i="7"/>
  <c r="C59" i="7"/>
  <c r="C23" i="7"/>
  <c r="C22" i="7"/>
  <c r="C21" i="7"/>
  <c r="C20" i="7"/>
  <c r="C19" i="7"/>
  <c r="C18" i="7"/>
  <c r="C17" i="7"/>
  <c r="E24" i="7"/>
  <c r="M14" i="7"/>
  <c r="M14" i="11" s="1"/>
  <c r="L14" i="7"/>
  <c r="L14" i="11" s="1"/>
  <c r="K14" i="7"/>
  <c r="K14" i="11" s="1"/>
  <c r="J14" i="7"/>
  <c r="J14" i="11" s="1"/>
  <c r="I14" i="7"/>
  <c r="I14" i="11" s="1"/>
  <c r="H14" i="7"/>
  <c r="H14" i="11" s="1"/>
  <c r="G14" i="7"/>
  <c r="G14" i="11" s="1"/>
  <c r="F13" i="2"/>
  <c r="G13" i="2" s="1"/>
  <c r="F13" i="7" s="1"/>
  <c r="F12" i="2"/>
  <c r="F11" i="2"/>
  <c r="G11" i="2" s="1"/>
  <c r="F11" i="7" s="1"/>
  <c r="F10" i="2"/>
  <c r="G10" i="2" s="1"/>
  <c r="F10" i="7" s="1"/>
  <c r="F9" i="2"/>
  <c r="G9" i="2" s="1"/>
  <c r="F9" i="7" s="1"/>
  <c r="F8" i="2"/>
  <c r="F7" i="2"/>
  <c r="G7" i="2" s="1"/>
  <c r="E13" i="7"/>
  <c r="E52" i="7" s="1"/>
  <c r="E12" i="7"/>
  <c r="E51" i="7" s="1"/>
  <c r="E11" i="7"/>
  <c r="E50" i="7" s="1"/>
  <c r="E10" i="7"/>
  <c r="E49" i="7" s="1"/>
  <c r="E9" i="7"/>
  <c r="E48" i="7" s="1"/>
  <c r="E8" i="7"/>
  <c r="E47" i="7" s="1"/>
  <c r="E7" i="7"/>
  <c r="E46" i="7" s="1"/>
  <c r="D38" i="2"/>
  <c r="D37" i="2"/>
  <c r="D36" i="2"/>
  <c r="D35" i="2"/>
  <c r="D34" i="2"/>
  <c r="D33" i="2"/>
  <c r="D32" i="2"/>
  <c r="D36" i="7" l="1"/>
  <c r="D27" i="7"/>
  <c r="D40" i="7"/>
  <c r="D31" i="7"/>
  <c r="D37" i="7"/>
  <c r="D28" i="7"/>
  <c r="D41" i="7"/>
  <c r="D32" i="7"/>
  <c r="D38" i="7"/>
  <c r="D29" i="7"/>
  <c r="D42" i="7"/>
  <c r="D33" i="7"/>
  <c r="D39" i="7"/>
  <c r="D30" i="7"/>
  <c r="F7" i="7"/>
  <c r="G8" i="2"/>
  <c r="L4" i="14"/>
  <c r="W14" i="11"/>
  <c r="T14" i="11"/>
  <c r="X14" i="11"/>
  <c r="U14" i="11"/>
  <c r="Y14" i="11"/>
  <c r="V14" i="11"/>
  <c r="Z14" i="11"/>
  <c r="E53" i="7"/>
  <c r="D10" i="7"/>
  <c r="D9" i="7"/>
  <c r="D13" i="7"/>
  <c r="D11" i="7"/>
  <c r="G12" i="2"/>
  <c r="F12" i="7" s="1"/>
  <c r="F14" i="2"/>
  <c r="E14" i="7"/>
  <c r="E14" i="11" s="1"/>
  <c r="R14" i="11" s="1"/>
  <c r="E14" i="2"/>
  <c r="L39" i="7" l="1"/>
  <c r="K39" i="7"/>
  <c r="I39" i="7"/>
  <c r="F39" i="7"/>
  <c r="O39" i="7"/>
  <c r="J39" i="7"/>
  <c r="H39" i="7"/>
  <c r="N39" i="7"/>
  <c r="M39" i="7"/>
  <c r="G39" i="7"/>
  <c r="M38" i="7"/>
  <c r="N38" i="7"/>
  <c r="I38" i="7"/>
  <c r="G38" i="7"/>
  <c r="H38" i="7"/>
  <c r="L38" i="7"/>
  <c r="J38" i="7"/>
  <c r="O38" i="7"/>
  <c r="K38" i="7"/>
  <c r="F38" i="7"/>
  <c r="N37" i="7"/>
  <c r="K37" i="7"/>
  <c r="F37" i="7"/>
  <c r="M37" i="7"/>
  <c r="O37" i="7"/>
  <c r="G37" i="7"/>
  <c r="L37" i="7"/>
  <c r="H37" i="7"/>
  <c r="I37" i="7"/>
  <c r="J37" i="7"/>
  <c r="O36" i="7"/>
  <c r="M36" i="7"/>
  <c r="L36" i="7"/>
  <c r="J36" i="7"/>
  <c r="I36" i="7"/>
  <c r="G36" i="7"/>
  <c r="K36" i="7"/>
  <c r="F36" i="7"/>
  <c r="N36" i="7"/>
  <c r="H36" i="7"/>
  <c r="I33" i="7"/>
  <c r="J33" i="7" s="1"/>
  <c r="K33" i="7" s="1"/>
  <c r="L33" i="7" s="1"/>
  <c r="M33" i="7" s="1"/>
  <c r="N33" i="7" s="1"/>
  <c r="O33" i="7" s="1"/>
  <c r="G32" i="7"/>
  <c r="H32" i="7" s="1"/>
  <c r="G31" i="7"/>
  <c r="H31" i="7" s="1"/>
  <c r="I31" i="7" s="1"/>
  <c r="M42" i="7"/>
  <c r="J42" i="7"/>
  <c r="F42" i="7"/>
  <c r="I42" i="7"/>
  <c r="K42" i="7"/>
  <c r="H42" i="7"/>
  <c r="N42" i="7"/>
  <c r="O42" i="7"/>
  <c r="G42" i="7"/>
  <c r="L42" i="7"/>
  <c r="N41" i="7"/>
  <c r="H41" i="7"/>
  <c r="F41" i="7"/>
  <c r="I41" i="7"/>
  <c r="J41" i="7"/>
  <c r="L41" i="7"/>
  <c r="M41" i="7"/>
  <c r="G41" i="7"/>
  <c r="K41" i="7"/>
  <c r="O41" i="7"/>
  <c r="O40" i="7"/>
  <c r="F40" i="7"/>
  <c r="L40" i="7"/>
  <c r="G40" i="7"/>
  <c r="H40" i="7"/>
  <c r="I40" i="7"/>
  <c r="J40" i="7"/>
  <c r="N40" i="7"/>
  <c r="M40" i="7"/>
  <c r="K40" i="7"/>
  <c r="H30" i="7"/>
  <c r="H29" i="7"/>
  <c r="H28" i="7"/>
  <c r="I28" i="7" s="1"/>
  <c r="G27" i="7"/>
  <c r="H27" i="7" s="1"/>
  <c r="D7" i="7"/>
  <c r="G14" i="2"/>
  <c r="F8" i="7"/>
  <c r="F71" i="7"/>
  <c r="G71" i="7" s="1"/>
  <c r="D36" i="18"/>
  <c r="F96" i="7"/>
  <c r="G96" i="7" s="1"/>
  <c r="D38" i="18"/>
  <c r="F95" i="7"/>
  <c r="G95" i="7" s="1"/>
  <c r="D37" i="18"/>
  <c r="F99" i="7"/>
  <c r="G99" i="7" s="1"/>
  <c r="H99" i="7" s="1"/>
  <c r="D41" i="18"/>
  <c r="F98" i="7"/>
  <c r="D40" i="18"/>
  <c r="F97" i="7"/>
  <c r="D39" i="18"/>
  <c r="F72" i="7"/>
  <c r="G72" i="7" s="1"/>
  <c r="F73" i="7"/>
  <c r="G73" i="7" s="1"/>
  <c r="F94" i="7"/>
  <c r="F76" i="7"/>
  <c r="G76" i="7" s="1"/>
  <c r="H76" i="7" s="1"/>
  <c r="F75" i="7"/>
  <c r="F74" i="7"/>
  <c r="K4" i="14"/>
  <c r="K15" i="14"/>
  <c r="K17" i="14" s="1"/>
  <c r="L15" i="14"/>
  <c r="L17" i="14" s="1"/>
  <c r="R6" i="11"/>
  <c r="R17" i="11"/>
  <c r="E6" i="11"/>
  <c r="E17" i="11"/>
  <c r="E9" i="11" s="1"/>
  <c r="S15" i="14"/>
  <c r="S17" i="14" s="1"/>
  <c r="D12" i="7"/>
  <c r="I27" i="7" l="1"/>
  <c r="J27" i="7" s="1"/>
  <c r="J28" i="7"/>
  <c r="K28" i="7" s="1"/>
  <c r="G74" i="7"/>
  <c r="H74" i="7" s="1"/>
  <c r="G97" i="7"/>
  <c r="H97" i="7" s="1"/>
  <c r="I97" i="7" s="1"/>
  <c r="H43" i="7"/>
  <c r="I29" i="7"/>
  <c r="G75" i="7"/>
  <c r="H75" i="7" s="1"/>
  <c r="H73" i="7"/>
  <c r="G43" i="7"/>
  <c r="I30" i="7"/>
  <c r="J31" i="7"/>
  <c r="K31" i="7" s="1"/>
  <c r="L31" i="7" s="1"/>
  <c r="F43" i="7"/>
  <c r="G98" i="7"/>
  <c r="H98" i="7" s="1"/>
  <c r="H95" i="7"/>
  <c r="H71" i="7"/>
  <c r="I71" i="7" s="1"/>
  <c r="I32" i="7"/>
  <c r="D8" i="7"/>
  <c r="F22" i="5"/>
  <c r="F14" i="7"/>
  <c r="G94" i="7"/>
  <c r="H94" i="7" s="1"/>
  <c r="I94" i="7" s="1"/>
  <c r="R15" i="14"/>
  <c r="R17" i="14" s="1"/>
  <c r="O15" i="14"/>
  <c r="O17" i="14" s="1"/>
  <c r="M4" i="14"/>
  <c r="N15" i="14"/>
  <c r="N17" i="14" s="1"/>
  <c r="M15" i="14"/>
  <c r="M17" i="14" s="1"/>
  <c r="Q15" i="14"/>
  <c r="Q17" i="14" s="1"/>
  <c r="P15" i="14"/>
  <c r="P17" i="14" s="1"/>
  <c r="R9" i="11"/>
  <c r="S13" i="11"/>
  <c r="G28" i="10"/>
  <c r="C12" i="12" s="1"/>
  <c r="F13" i="11"/>
  <c r="F5" i="11" s="1"/>
  <c r="I99" i="7"/>
  <c r="H96" i="7"/>
  <c r="H72" i="7"/>
  <c r="I76" i="7"/>
  <c r="J71" i="7" l="1"/>
  <c r="K71" i="7" s="1"/>
  <c r="I96" i="7"/>
  <c r="I73" i="7"/>
  <c r="L28" i="7"/>
  <c r="M28" i="7" s="1"/>
  <c r="N28" i="7" s="1"/>
  <c r="O28" i="7" s="1"/>
  <c r="I72" i="7"/>
  <c r="J32" i="7"/>
  <c r="I74" i="7"/>
  <c r="J74" i="7" s="1"/>
  <c r="K74" i="7" s="1"/>
  <c r="L74" i="7" s="1"/>
  <c r="J97" i="7"/>
  <c r="K97" i="7" s="1"/>
  <c r="L97" i="7" s="1"/>
  <c r="I95" i="7"/>
  <c r="I75" i="7"/>
  <c r="I43" i="7"/>
  <c r="I98" i="7"/>
  <c r="J30" i="7"/>
  <c r="K27" i="7"/>
  <c r="L27" i="7" s="1"/>
  <c r="M31" i="7"/>
  <c r="N31" i="7" s="1"/>
  <c r="O31" i="7" s="1"/>
  <c r="J29" i="7"/>
  <c r="K29" i="7" s="1"/>
  <c r="F14" i="11"/>
  <c r="S14" i="11" s="1"/>
  <c r="S17" i="11" s="1"/>
  <c r="D14" i="7"/>
  <c r="J94" i="7"/>
  <c r="K94" i="7" s="1"/>
  <c r="S5" i="11"/>
  <c r="G35" i="10"/>
  <c r="G44" i="10" s="1"/>
  <c r="G45" i="10" s="1"/>
  <c r="J99" i="7"/>
  <c r="K99" i="7" s="1"/>
  <c r="L99" i="7" s="1"/>
  <c r="M99" i="7" s="1"/>
  <c r="N99" i="7" s="1"/>
  <c r="J76" i="7"/>
  <c r="J96" i="7" l="1"/>
  <c r="L71" i="7"/>
  <c r="M71" i="7" s="1"/>
  <c r="N71" i="7" s="1"/>
  <c r="O71" i="7" s="1"/>
  <c r="M74" i="7"/>
  <c r="N74" i="7" s="1"/>
  <c r="O74" i="7" s="1"/>
  <c r="J72" i="7"/>
  <c r="K72" i="7" s="1"/>
  <c r="J43" i="7"/>
  <c r="M97" i="7"/>
  <c r="N97" i="7" s="1"/>
  <c r="O97" i="7" s="1"/>
  <c r="L29" i="7"/>
  <c r="M29" i="7" s="1"/>
  <c r="K30" i="7"/>
  <c r="J73" i="7"/>
  <c r="J95" i="7"/>
  <c r="K95" i="7" s="1"/>
  <c r="M27" i="7"/>
  <c r="K32" i="7"/>
  <c r="J98" i="7"/>
  <c r="J75" i="7"/>
  <c r="G22" i="5"/>
  <c r="F17" i="11"/>
  <c r="G13" i="11" s="1"/>
  <c r="L94" i="7"/>
  <c r="M94" i="7" s="1"/>
  <c r="N94" i="7" s="1"/>
  <c r="O94" i="7" s="1"/>
  <c r="T13" i="11"/>
  <c r="O99" i="7"/>
  <c r="K76" i="7"/>
  <c r="L76" i="7" s="1"/>
  <c r="M76" i="7" s="1"/>
  <c r="N76" i="7" s="1"/>
  <c r="O76" i="7" s="1"/>
  <c r="L72" i="7" l="1"/>
  <c r="M72" i="7" s="1"/>
  <c r="L30" i="7"/>
  <c r="M30" i="7" s="1"/>
  <c r="N30" i="7" s="1"/>
  <c r="K75" i="7"/>
  <c r="N27" i="7"/>
  <c r="O27" i="7" s="1"/>
  <c r="L95" i="7"/>
  <c r="M95" i="7" s="1"/>
  <c r="K43" i="7"/>
  <c r="L32" i="7"/>
  <c r="M32" i="7" s="1"/>
  <c r="K98" i="7"/>
  <c r="N29" i="7"/>
  <c r="O29" i="7" s="1"/>
  <c r="K73" i="7"/>
  <c r="L73" i="7" s="1"/>
  <c r="K96" i="7"/>
  <c r="H22" i="5"/>
  <c r="T17" i="11"/>
  <c r="G17" i="11"/>
  <c r="L96" i="7" l="1"/>
  <c r="M96" i="7" s="1"/>
  <c r="N96" i="7" s="1"/>
  <c r="N95" i="7"/>
  <c r="O95" i="7" s="1"/>
  <c r="M73" i="7"/>
  <c r="N73" i="7" s="1"/>
  <c r="N32" i="7"/>
  <c r="O32" i="7" s="1"/>
  <c r="M43" i="7"/>
  <c r="L43" i="7"/>
  <c r="O30" i="7"/>
  <c r="L98" i="7"/>
  <c r="M98" i="7" s="1"/>
  <c r="N98" i="7" s="1"/>
  <c r="O98" i="7" s="1"/>
  <c r="N72" i="7"/>
  <c r="O72" i="7" s="1"/>
  <c r="L75" i="7"/>
  <c r="M75" i="7" s="1"/>
  <c r="U13" i="11"/>
  <c r="H13" i="11"/>
  <c r="O96" i="7" l="1"/>
  <c r="O43" i="7"/>
  <c r="N43" i="7"/>
  <c r="O73" i="7"/>
  <c r="N75" i="7"/>
  <c r="O75" i="7" s="1"/>
  <c r="U17" i="11"/>
  <c r="H17" i="11"/>
  <c r="V13" i="11" l="1"/>
  <c r="I13" i="11"/>
  <c r="V17" i="11" l="1"/>
  <c r="I17" i="11"/>
  <c r="W13" i="11" l="1"/>
  <c r="J13" i="11"/>
  <c r="W17" i="11" l="1"/>
  <c r="J17" i="11"/>
  <c r="X13" i="11" l="1"/>
  <c r="K13" i="11"/>
  <c r="D125" i="2" l="1"/>
  <c r="D121" i="2"/>
  <c r="D52" i="18" s="1"/>
  <c r="D53" i="18" s="1"/>
  <c r="E19" i="5" s="1"/>
  <c r="X17" i="11"/>
  <c r="K17" i="11"/>
  <c r="E121" i="2" l="1"/>
  <c r="E52" i="18" s="1"/>
  <c r="E47" i="18"/>
  <c r="E49" i="18" s="1"/>
  <c r="E32" i="18"/>
  <c r="E125" i="2"/>
  <c r="Y13" i="11"/>
  <c r="L13" i="11"/>
  <c r="F34" i="18" l="1"/>
  <c r="E34" i="18"/>
  <c r="E53" i="18"/>
  <c r="F19" i="5" s="1"/>
  <c r="F121" i="2"/>
  <c r="F52" i="18" s="1"/>
  <c r="F47" i="18"/>
  <c r="F49" i="18" s="1"/>
  <c r="E41" i="18"/>
  <c r="E40" i="18"/>
  <c r="E36" i="18"/>
  <c r="E37" i="18"/>
  <c r="E39" i="18"/>
  <c r="E38" i="18"/>
  <c r="F125" i="2"/>
  <c r="Y17" i="11"/>
  <c r="L17" i="11"/>
  <c r="G32" i="18"/>
  <c r="G34" i="18" s="1"/>
  <c r="F53" i="18" l="1"/>
  <c r="G19" i="5" s="1"/>
  <c r="G121" i="2"/>
  <c r="G52" i="18" s="1"/>
  <c r="G47" i="18"/>
  <c r="G49" i="18" s="1"/>
  <c r="F38" i="18"/>
  <c r="F39" i="18"/>
  <c r="F41" i="18"/>
  <c r="F40" i="18"/>
  <c r="F36" i="18"/>
  <c r="F37" i="18"/>
  <c r="G125" i="2"/>
  <c r="K5" i="14"/>
  <c r="Z13" i="11"/>
  <c r="M13" i="11"/>
  <c r="H32" i="18"/>
  <c r="G53" i="18" l="1"/>
  <c r="H19" i="5" s="1"/>
  <c r="H121" i="2"/>
  <c r="H52" i="18" s="1"/>
  <c r="H47" i="18"/>
  <c r="H49" i="18" s="1"/>
  <c r="G36" i="18"/>
  <c r="G38" i="18"/>
  <c r="G37" i="18"/>
  <c r="G41" i="18"/>
  <c r="G40" i="18"/>
  <c r="G39" i="18"/>
  <c r="H125" i="2"/>
  <c r="K13" i="14"/>
  <c r="K18" i="14"/>
  <c r="L5" i="14"/>
  <c r="Z17" i="11"/>
  <c r="M17" i="11"/>
  <c r="I32" i="18"/>
  <c r="H53" i="18" l="1"/>
  <c r="I19" i="5" s="1"/>
  <c r="J121" i="2"/>
  <c r="J52" i="18" s="1"/>
  <c r="J47" i="18"/>
  <c r="J49" i="18" s="1"/>
  <c r="I121" i="2"/>
  <c r="I52" i="18" s="1"/>
  <c r="I47" i="18"/>
  <c r="I49" i="18" s="1"/>
  <c r="H38" i="18"/>
  <c r="H40" i="18"/>
  <c r="H36" i="18"/>
  <c r="H37" i="18"/>
  <c r="H41" i="18"/>
  <c r="H39" i="18"/>
  <c r="I125" i="2"/>
  <c r="L13" i="14"/>
  <c r="L18" i="14"/>
  <c r="M5" i="14"/>
  <c r="AA13" i="11"/>
  <c r="N13" i="11"/>
  <c r="J32" i="18"/>
  <c r="J53" i="18" l="1"/>
  <c r="K19" i="5" s="1"/>
  <c r="I53" i="18"/>
  <c r="J19" i="5" s="1"/>
  <c r="K121" i="2"/>
  <c r="K52" i="18" s="1"/>
  <c r="K47" i="18"/>
  <c r="K49" i="18" s="1"/>
  <c r="I39" i="18"/>
  <c r="I38" i="18"/>
  <c r="I41" i="18"/>
  <c r="I40" i="18"/>
  <c r="I36" i="18"/>
  <c r="I37" i="18"/>
  <c r="J125" i="2"/>
  <c r="M13" i="14"/>
  <c r="M18" i="14"/>
  <c r="AA17" i="11"/>
  <c r="N17" i="11"/>
  <c r="K32" i="18"/>
  <c r="K53" i="18" l="1"/>
  <c r="L19" i="5" s="1"/>
  <c r="L121" i="2"/>
  <c r="L52" i="18" s="1"/>
  <c r="L47" i="18"/>
  <c r="L49" i="18" s="1"/>
  <c r="J37" i="18"/>
  <c r="J39" i="18"/>
  <c r="J41" i="18"/>
  <c r="J40" i="18"/>
  <c r="J36" i="18"/>
  <c r="J38" i="18"/>
  <c r="K125" i="2"/>
  <c r="AB13" i="11"/>
  <c r="O13" i="11"/>
  <c r="L32" i="18"/>
  <c r="L53" i="18" l="1"/>
  <c r="M19" i="5" s="1"/>
  <c r="M121" i="2"/>
  <c r="M52" i="18" s="1"/>
  <c r="M47" i="18"/>
  <c r="M49" i="18" s="1"/>
  <c r="K36" i="18"/>
  <c r="K37" i="18"/>
  <c r="K41" i="18"/>
  <c r="K39" i="18"/>
  <c r="K38" i="18"/>
  <c r="K40" i="18"/>
  <c r="L125" i="2"/>
  <c r="AB17" i="11"/>
  <c r="O17" i="11"/>
  <c r="M32" i="18"/>
  <c r="M53" i="18" l="1"/>
  <c r="N19" i="5" s="1"/>
  <c r="L38" i="18"/>
  <c r="L37" i="18"/>
  <c r="L40" i="18"/>
  <c r="L36" i="18"/>
  <c r="L41" i="18"/>
  <c r="L39" i="18"/>
  <c r="M125" i="2"/>
  <c r="M41" i="18" l="1"/>
  <c r="M39" i="18"/>
  <c r="M40" i="18"/>
  <c r="M36" i="18"/>
  <c r="M38" i="18"/>
  <c r="M37" i="18"/>
  <c r="F12" i="5" l="1"/>
  <c r="G12" i="5" l="1"/>
  <c r="H12" i="5" l="1"/>
  <c r="C26" i="2" l="1"/>
  <c r="D25" i="2"/>
  <c r="I23" i="7" s="1"/>
  <c r="I52" i="7" s="1"/>
  <c r="D24" i="2"/>
  <c r="D23" i="2"/>
  <c r="D22" i="2"/>
  <c r="D21" i="2"/>
  <c r="D20" i="2"/>
  <c r="D19" i="2"/>
  <c r="D14" i="2"/>
  <c r="C14" i="2"/>
  <c r="K26" i="2" l="1"/>
  <c r="J26" i="2"/>
  <c r="I26" i="2"/>
  <c r="M22" i="7"/>
  <c r="M51" i="7" s="1"/>
  <c r="I22" i="7"/>
  <c r="I51" i="7" s="1"/>
  <c r="L22" i="7"/>
  <c r="L51" i="7" s="1"/>
  <c r="H22" i="7"/>
  <c r="H51" i="7" s="1"/>
  <c r="F22" i="7"/>
  <c r="F51" i="7" s="1"/>
  <c r="N22" i="7"/>
  <c r="N51" i="7" s="1"/>
  <c r="O22" i="7"/>
  <c r="O51" i="7" s="1"/>
  <c r="K22" i="7"/>
  <c r="K51" i="7" s="1"/>
  <c r="G22" i="7"/>
  <c r="G51" i="7" s="1"/>
  <c r="J22" i="7"/>
  <c r="J51" i="7" s="1"/>
  <c r="L19" i="7"/>
  <c r="L48" i="7" s="1"/>
  <c r="H19" i="7"/>
  <c r="H48" i="7" s="1"/>
  <c r="F19" i="7"/>
  <c r="F48" i="7" s="1"/>
  <c r="I19" i="7"/>
  <c r="I48" i="7" s="1"/>
  <c r="O19" i="7"/>
  <c r="O48" i="7" s="1"/>
  <c r="K19" i="7"/>
  <c r="K48" i="7" s="1"/>
  <c r="G19" i="7"/>
  <c r="G48" i="7" s="1"/>
  <c r="N19" i="7"/>
  <c r="N48" i="7" s="1"/>
  <c r="J19" i="7"/>
  <c r="J48" i="7" s="1"/>
  <c r="M19" i="7"/>
  <c r="M48" i="7" s="1"/>
  <c r="L23" i="7"/>
  <c r="L52" i="7" s="1"/>
  <c r="H23" i="7"/>
  <c r="H52" i="7" s="1"/>
  <c r="F23" i="7"/>
  <c r="F52" i="7" s="1"/>
  <c r="M23" i="7"/>
  <c r="M52" i="7" s="1"/>
  <c r="O23" i="7"/>
  <c r="O52" i="7" s="1"/>
  <c r="K23" i="7"/>
  <c r="K52" i="7" s="1"/>
  <c r="G23" i="7"/>
  <c r="G52" i="7" s="1"/>
  <c r="N23" i="7"/>
  <c r="N52" i="7" s="1"/>
  <c r="J23" i="7"/>
  <c r="J52" i="7" s="1"/>
  <c r="O20" i="7"/>
  <c r="O49" i="7" s="1"/>
  <c r="K20" i="7"/>
  <c r="K49" i="7" s="1"/>
  <c r="G20" i="7"/>
  <c r="G49" i="7" s="1"/>
  <c r="L20" i="7"/>
  <c r="L49" i="7" s="1"/>
  <c r="N20" i="7"/>
  <c r="N49" i="7" s="1"/>
  <c r="J20" i="7"/>
  <c r="J49" i="7" s="1"/>
  <c r="H20" i="7"/>
  <c r="H49" i="7" s="1"/>
  <c r="M20" i="7"/>
  <c r="M49" i="7" s="1"/>
  <c r="I20" i="7"/>
  <c r="I49" i="7" s="1"/>
  <c r="F20" i="7"/>
  <c r="F49" i="7" s="1"/>
  <c r="N17" i="7"/>
  <c r="N46" i="7" s="1"/>
  <c r="J17" i="7"/>
  <c r="J46" i="7" s="1"/>
  <c r="G17" i="7"/>
  <c r="G46" i="7" s="1"/>
  <c r="M17" i="7"/>
  <c r="M46" i="7" s="1"/>
  <c r="I17" i="7"/>
  <c r="I46" i="7" s="1"/>
  <c r="O17" i="7"/>
  <c r="O46" i="7" s="1"/>
  <c r="L17" i="7"/>
  <c r="L46" i="7" s="1"/>
  <c r="H17" i="7"/>
  <c r="H46" i="7" s="1"/>
  <c r="F17" i="7"/>
  <c r="F46" i="7" s="1"/>
  <c r="K17" i="7"/>
  <c r="K46" i="7" s="1"/>
  <c r="N21" i="7"/>
  <c r="N50" i="7" s="1"/>
  <c r="J21" i="7"/>
  <c r="J50" i="7" s="1"/>
  <c r="O21" i="7"/>
  <c r="O50" i="7" s="1"/>
  <c r="M21" i="7"/>
  <c r="M50" i="7" s="1"/>
  <c r="I21" i="7"/>
  <c r="I50" i="7" s="1"/>
  <c r="K21" i="7"/>
  <c r="K50" i="7" s="1"/>
  <c r="L21" i="7"/>
  <c r="L50" i="7" s="1"/>
  <c r="H21" i="7"/>
  <c r="H50" i="7" s="1"/>
  <c r="F21" i="7"/>
  <c r="F50" i="7" s="1"/>
  <c r="G21" i="7"/>
  <c r="G50" i="7" s="1"/>
  <c r="M18" i="7"/>
  <c r="M47" i="7" s="1"/>
  <c r="I18" i="7"/>
  <c r="I47" i="7" s="1"/>
  <c r="L18" i="7"/>
  <c r="L47" i="7" s="1"/>
  <c r="H18" i="7"/>
  <c r="H47" i="7" s="1"/>
  <c r="F18" i="7"/>
  <c r="F47" i="7" s="1"/>
  <c r="N18" i="7"/>
  <c r="N47" i="7" s="1"/>
  <c r="O18" i="7"/>
  <c r="O47" i="7" s="1"/>
  <c r="K18" i="7"/>
  <c r="K47" i="7" s="1"/>
  <c r="G18" i="7"/>
  <c r="G47" i="7" s="1"/>
  <c r="J18" i="7"/>
  <c r="J47" i="7" s="1"/>
  <c r="H26" i="2"/>
  <c r="G26" i="2"/>
  <c r="D26" i="2"/>
  <c r="F26" i="2"/>
  <c r="F85" i="7" l="1"/>
  <c r="G85" i="7" s="1"/>
  <c r="F86" i="7"/>
  <c r="F88" i="7"/>
  <c r="G88" i="7" s="1"/>
  <c r="F83" i="7"/>
  <c r="F82" i="7"/>
  <c r="F84" i="7"/>
  <c r="G84" i="7" s="1"/>
  <c r="H84" i="7" s="1"/>
  <c r="I84" i="7" s="1"/>
  <c r="F87" i="7"/>
  <c r="G87" i="7" s="1"/>
  <c r="F63" i="7"/>
  <c r="G63" i="7" s="1"/>
  <c r="F62" i="7"/>
  <c r="F65" i="7"/>
  <c r="G65" i="7" s="1"/>
  <c r="F60" i="7"/>
  <c r="G60" i="7" s="1"/>
  <c r="H60" i="7" s="1"/>
  <c r="F59" i="7"/>
  <c r="G59" i="7" s="1"/>
  <c r="F61" i="7"/>
  <c r="G61" i="7" s="1"/>
  <c r="F64" i="7"/>
  <c r="G64" i="7" s="1"/>
  <c r="H64" i="7" s="1"/>
  <c r="M24" i="7"/>
  <c r="D21" i="7"/>
  <c r="D50" i="7" s="1"/>
  <c r="L24" i="7"/>
  <c r="G24" i="7"/>
  <c r="D23" i="7"/>
  <c r="D52" i="7" s="1"/>
  <c r="K24" i="7"/>
  <c r="O24" i="7"/>
  <c r="J24" i="7"/>
  <c r="H24" i="7"/>
  <c r="D20" i="7"/>
  <c r="D49" i="7" s="1"/>
  <c r="D18" i="7"/>
  <c r="D47" i="7" s="1"/>
  <c r="D17" i="7"/>
  <c r="D46" i="7" s="1"/>
  <c r="F24" i="7"/>
  <c r="I24" i="7"/>
  <c r="N24" i="7"/>
  <c r="D19" i="7"/>
  <c r="D48" i="7" s="1"/>
  <c r="D22" i="7"/>
  <c r="D51" i="7" s="1"/>
  <c r="I21" i="11" l="1"/>
  <c r="V21" i="11" s="1"/>
  <c r="G83" i="7"/>
  <c r="H83" i="7" s="1"/>
  <c r="I83" i="7" s="1"/>
  <c r="G82" i="7"/>
  <c r="H82" i="7" s="1"/>
  <c r="I82" i="7" s="1"/>
  <c r="J82" i="7" s="1"/>
  <c r="N21" i="11"/>
  <c r="AA21" i="11" s="1"/>
  <c r="K21" i="11"/>
  <c r="X21" i="11" s="1"/>
  <c r="M21" i="11"/>
  <c r="Z21" i="11" s="1"/>
  <c r="F21" i="11"/>
  <c r="S21" i="11" s="1"/>
  <c r="H21" i="11"/>
  <c r="U21" i="11" s="1"/>
  <c r="O21" i="11"/>
  <c r="AB21" i="11" s="1"/>
  <c r="L21" i="11"/>
  <c r="Y21" i="11" s="1"/>
  <c r="J21" i="11"/>
  <c r="W21" i="11" s="1"/>
  <c r="G21" i="11"/>
  <c r="T21" i="11" s="1"/>
  <c r="L6" i="14"/>
  <c r="K6" i="14"/>
  <c r="M6" i="14"/>
  <c r="H88" i="7"/>
  <c r="I88" i="7" s="1"/>
  <c r="H87" i="7"/>
  <c r="I87" i="7" s="1"/>
  <c r="F90" i="7"/>
  <c r="G86" i="7"/>
  <c r="H85" i="7"/>
  <c r="I85" i="7" s="1"/>
  <c r="J84" i="7"/>
  <c r="K84" i="7" s="1"/>
  <c r="L84" i="7" s="1"/>
  <c r="H61" i="7"/>
  <c r="I61" i="7" s="1"/>
  <c r="I64" i="7"/>
  <c r="G62" i="7"/>
  <c r="H62" i="7" s="1"/>
  <c r="I62" i="7" s="1"/>
  <c r="H65" i="7"/>
  <c r="I65" i="7" s="1"/>
  <c r="H63" i="7"/>
  <c r="I63" i="7" s="1"/>
  <c r="H59" i="7"/>
  <c r="F67" i="7"/>
  <c r="F23" i="11" s="1"/>
  <c r="I60" i="7"/>
  <c r="D24" i="7"/>
  <c r="E12" i="5"/>
  <c r="J83" i="7" l="1"/>
  <c r="K83" i="7" s="1"/>
  <c r="L83" i="7" s="1"/>
  <c r="M83" i="7" s="1"/>
  <c r="G90" i="7"/>
  <c r="T23" i="11" s="1"/>
  <c r="K82" i="7"/>
  <c r="L82" i="7" s="1"/>
  <c r="S23" i="11"/>
  <c r="F24" i="11"/>
  <c r="J63" i="7"/>
  <c r="K63" i="7" s="1"/>
  <c r="L63" i="7" s="1"/>
  <c r="J85" i="7"/>
  <c r="K85" i="7" s="1"/>
  <c r="J64" i="7"/>
  <c r="K64" i="7" s="1"/>
  <c r="J61" i="7"/>
  <c r="K61" i="7" s="1"/>
  <c r="L61" i="7" s="1"/>
  <c r="M61" i="7" s="1"/>
  <c r="N61" i="7" s="1"/>
  <c r="O61" i="7" s="1"/>
  <c r="J88" i="7"/>
  <c r="K88" i="7" s="1"/>
  <c r="L88" i="7" s="1"/>
  <c r="M88" i="7" s="1"/>
  <c r="N88" i="7" s="1"/>
  <c r="O88" i="7" s="1"/>
  <c r="J87" i="7"/>
  <c r="K87" i="7" s="1"/>
  <c r="L87" i="7" s="1"/>
  <c r="M84" i="7"/>
  <c r="N84" i="7" s="1"/>
  <c r="O84" i="7" s="1"/>
  <c r="H86" i="7"/>
  <c r="G67" i="7"/>
  <c r="G23" i="11" s="1"/>
  <c r="J60" i="7"/>
  <c r="K60" i="7" s="1"/>
  <c r="J62" i="7"/>
  <c r="K62" i="7" s="1"/>
  <c r="I59" i="7"/>
  <c r="H67" i="7"/>
  <c r="H23" i="11" s="1"/>
  <c r="J65" i="7"/>
  <c r="K65" i="7" s="1"/>
  <c r="S24" i="11" l="1"/>
  <c r="N83" i="7"/>
  <c r="O83" i="7" s="1"/>
  <c r="M82" i="7"/>
  <c r="N82" i="7" s="1"/>
  <c r="O82" i="7" s="1"/>
  <c r="G20" i="11"/>
  <c r="L64" i="7"/>
  <c r="M64" i="7" s="1"/>
  <c r="N64" i="7" s="1"/>
  <c r="O64" i="7" s="1"/>
  <c r="I67" i="7"/>
  <c r="M87" i="7"/>
  <c r="N87" i="7" s="1"/>
  <c r="O87" i="7" s="1"/>
  <c r="L85" i="7"/>
  <c r="M85" i="7" s="1"/>
  <c r="N85" i="7" s="1"/>
  <c r="I86" i="7"/>
  <c r="H90" i="7"/>
  <c r="L60" i="7"/>
  <c r="M60" i="7" s="1"/>
  <c r="N60" i="7" s="1"/>
  <c r="L65" i="7"/>
  <c r="M65" i="7" s="1"/>
  <c r="N65" i="7" s="1"/>
  <c r="O65" i="7" s="1"/>
  <c r="M63" i="7"/>
  <c r="N63" i="7" s="1"/>
  <c r="O63" i="7" s="1"/>
  <c r="L62" i="7"/>
  <c r="J59" i="7"/>
  <c r="T20" i="11" l="1"/>
  <c r="U23" i="11"/>
  <c r="I23" i="11"/>
  <c r="G24" i="11"/>
  <c r="J86" i="7"/>
  <c r="K86" i="7" s="1"/>
  <c r="L86" i="7" s="1"/>
  <c r="I90" i="7"/>
  <c r="V23" i="11" s="1"/>
  <c r="O85" i="7"/>
  <c r="O60" i="7"/>
  <c r="M62" i="7"/>
  <c r="N62" i="7" s="1"/>
  <c r="O62" i="7" s="1"/>
  <c r="J67" i="7"/>
  <c r="J23" i="11" s="1"/>
  <c r="K59" i="7"/>
  <c r="K67" i="7" s="1"/>
  <c r="K23" i="11" s="1"/>
  <c r="T24" i="11" l="1"/>
  <c r="K90" i="7"/>
  <c r="J90" i="7"/>
  <c r="M86" i="7"/>
  <c r="N86" i="7" s="1"/>
  <c r="O86" i="7" s="1"/>
  <c r="H20" i="11"/>
  <c r="L90" i="7"/>
  <c r="L59" i="7"/>
  <c r="U20" i="11" l="1"/>
  <c r="Y23" i="11"/>
  <c r="W23" i="11"/>
  <c r="X23" i="11"/>
  <c r="M90" i="7"/>
  <c r="H24" i="11"/>
  <c r="O90" i="7"/>
  <c r="M59" i="7"/>
  <c r="M67" i="7" s="1"/>
  <c r="M23" i="11" s="1"/>
  <c r="L67" i="7"/>
  <c r="L23" i="11" s="1"/>
  <c r="U24" i="11" l="1"/>
  <c r="Z23" i="11"/>
  <c r="AB23" i="11"/>
  <c r="I20" i="11"/>
  <c r="N90" i="7"/>
  <c r="N59" i="7"/>
  <c r="V20" i="11" l="1"/>
  <c r="AA23" i="11"/>
  <c r="I24" i="11"/>
  <c r="N67" i="7"/>
  <c r="N23" i="11" s="1"/>
  <c r="O59" i="7"/>
  <c r="O67" i="7" s="1"/>
  <c r="O23" i="11" s="1"/>
  <c r="V24" i="11" l="1"/>
  <c r="J20" i="11"/>
  <c r="W20" i="11" l="1"/>
  <c r="J24" i="11"/>
  <c r="W24" i="11" l="1"/>
  <c r="K20" i="11"/>
  <c r="X20" i="11" l="1"/>
  <c r="K24" i="11"/>
  <c r="X24" i="11" l="1"/>
  <c r="L20" i="11"/>
  <c r="Y20" i="11" l="1"/>
  <c r="L24" i="11"/>
  <c r="Y24" i="11" l="1"/>
  <c r="M20" i="11"/>
  <c r="Z20" i="11" l="1"/>
  <c r="M24" i="11"/>
  <c r="Z24" i="11" l="1"/>
  <c r="N20" i="11"/>
  <c r="AA20" i="11" l="1"/>
  <c r="N24" i="11"/>
  <c r="AA24" i="11" l="1"/>
  <c r="O20" i="11"/>
  <c r="AB20" i="11" l="1"/>
  <c r="O24" i="11"/>
  <c r="AB24" i="11" l="1"/>
  <c r="J5" i="14" l="1"/>
  <c r="J6" i="14" l="1"/>
  <c r="J18" i="14"/>
  <c r="J13" i="14"/>
  <c r="C17" i="12" l="1"/>
  <c r="C18" i="12" s="1"/>
  <c r="D7" i="12" l="1"/>
  <c r="E14" i="13" s="1"/>
  <c r="F7" i="12" l="1"/>
  <c r="G14" i="13" s="1"/>
  <c r="E7" i="12"/>
  <c r="F14" i="13" s="1"/>
  <c r="F27" i="5" l="1"/>
  <c r="G8" i="13" l="1"/>
  <c r="F8" i="13"/>
  <c r="E8" i="13"/>
  <c r="H7" i="12"/>
  <c r="I14" i="13" s="1"/>
  <c r="G7" i="12"/>
  <c r="H14" i="13" s="1"/>
  <c r="G27" i="5"/>
  <c r="H27" i="5"/>
  <c r="I7" i="12" l="1"/>
  <c r="J14" i="13" s="1"/>
  <c r="H8" i="13" l="1"/>
  <c r="J7" i="12"/>
  <c r="K14" i="13" s="1"/>
  <c r="I27" i="5"/>
  <c r="J27" i="5" l="1"/>
  <c r="J8" i="13" l="1"/>
  <c r="K27" i="5"/>
  <c r="I8" i="13"/>
  <c r="K7" i="12" l="1"/>
  <c r="L14" i="13" s="1"/>
  <c r="L27" i="5" l="1"/>
  <c r="K8" i="13"/>
  <c r="L7" i="12"/>
  <c r="M14" i="13" s="1"/>
  <c r="N27" i="5" l="1"/>
  <c r="M7" i="12"/>
  <c r="L8" i="13"/>
  <c r="M27" i="5"/>
  <c r="M8" i="13" l="1"/>
  <c r="D53" i="7" l="1"/>
  <c r="F53" i="7" l="1"/>
  <c r="F70" i="7"/>
  <c r="F77" i="7" s="1"/>
  <c r="F30" i="11" s="1"/>
  <c r="F8" i="11" s="1"/>
  <c r="E28" i="5" s="1"/>
  <c r="E36" i="5" s="1"/>
  <c r="E35" i="18"/>
  <c r="E43" i="18" s="1"/>
  <c r="F20" i="5" s="1"/>
  <c r="F23" i="5" s="1"/>
  <c r="G28" i="11"/>
  <c r="G35" i="18"/>
  <c r="G43" i="18" s="1"/>
  <c r="H20" i="5" s="1"/>
  <c r="H23" i="5" s="1"/>
  <c r="F93" i="7"/>
  <c r="G93" i="7" s="1"/>
  <c r="G101" i="7" s="1"/>
  <c r="T30" i="11" s="1"/>
  <c r="T8" i="11" s="1"/>
  <c r="F37" i="5" s="1"/>
  <c r="H53" i="7"/>
  <c r="H28" i="11"/>
  <c r="D35" i="18"/>
  <c r="D43" i="18" s="1"/>
  <c r="E20" i="5" s="1"/>
  <c r="F101" i="7" l="1"/>
  <c r="S30" i="11" s="1"/>
  <c r="S8" i="11" s="1"/>
  <c r="E37" i="5" s="1"/>
  <c r="G8" i="12"/>
  <c r="M7" i="14"/>
  <c r="M8" i="14" s="1"/>
  <c r="H26" i="5"/>
  <c r="F5" i="19" s="1"/>
  <c r="T28" i="11"/>
  <c r="T6" i="11" s="1"/>
  <c r="G6" i="11"/>
  <c r="D17" i="19" s="1"/>
  <c r="D19" i="19" s="1"/>
  <c r="H6" i="11"/>
  <c r="E17" i="19" s="1"/>
  <c r="E19" i="19" s="1"/>
  <c r="U28" i="11"/>
  <c r="U6" i="11" s="1"/>
  <c r="F26" i="5"/>
  <c r="D5" i="19" s="1"/>
  <c r="K7" i="14"/>
  <c r="K8" i="14" s="1"/>
  <c r="E8" i="12"/>
  <c r="F28" i="11"/>
  <c r="H93" i="7"/>
  <c r="H101" i="7" s="1"/>
  <c r="U30" i="11" s="1"/>
  <c r="U8" i="11" s="1"/>
  <c r="G37" i="5" s="1"/>
  <c r="G53" i="7"/>
  <c r="G70" i="7"/>
  <c r="F35" i="18"/>
  <c r="F43" i="18" s="1"/>
  <c r="G20" i="5" s="1"/>
  <c r="G23" i="5" s="1"/>
  <c r="G77" i="7" l="1"/>
  <c r="G30" i="11" s="1"/>
  <c r="G8" i="11" s="1"/>
  <c r="F28" i="5" s="1"/>
  <c r="F36" i="5" s="1"/>
  <c r="H70" i="7"/>
  <c r="H77" i="7" s="1"/>
  <c r="H30" i="11" s="1"/>
  <c r="H8" i="11" s="1"/>
  <c r="G28" i="5" s="1"/>
  <c r="G36" i="5" s="1"/>
  <c r="I53" i="7"/>
  <c r="S28" i="11"/>
  <c r="F31" i="11"/>
  <c r="F6" i="11"/>
  <c r="C17" i="19" s="1"/>
  <c r="C19" i="19" s="1"/>
  <c r="E6" i="13"/>
  <c r="E10" i="13" s="1"/>
  <c r="I35" i="18"/>
  <c r="G6" i="13"/>
  <c r="G10" i="13" s="1"/>
  <c r="M10" i="14" s="1"/>
  <c r="F8" i="12"/>
  <c r="E9" i="19" s="1"/>
  <c r="L7" i="14"/>
  <c r="L8" i="14" s="1"/>
  <c r="G26" i="5"/>
  <c r="E5" i="19" s="1"/>
  <c r="I93" i="7"/>
  <c r="I101" i="7" s="1"/>
  <c r="V30" i="11" s="1"/>
  <c r="H35" i="18"/>
  <c r="F9" i="19" l="1"/>
  <c r="K10" i="14"/>
  <c r="F29" i="5"/>
  <c r="F35" i="5" s="1"/>
  <c r="F38" i="5" s="1"/>
  <c r="I70" i="7"/>
  <c r="I77" i="7" s="1"/>
  <c r="I30" i="11" s="1"/>
  <c r="I8" i="11" s="1"/>
  <c r="H28" i="5" s="1"/>
  <c r="H36" i="5" s="1"/>
  <c r="J53" i="7"/>
  <c r="J28" i="11"/>
  <c r="G29" i="5"/>
  <c r="F6" i="13"/>
  <c r="F10" i="13" s="1"/>
  <c r="L10" i="14" s="1"/>
  <c r="S6" i="11"/>
  <c r="S31" i="11"/>
  <c r="F9" i="11"/>
  <c r="D12" i="12" s="1"/>
  <c r="G27" i="11"/>
  <c r="J93" i="7"/>
  <c r="J101" i="7" s="1"/>
  <c r="W30" i="11" s="1"/>
  <c r="I28" i="11"/>
  <c r="J35" i="18"/>
  <c r="H29" i="5" l="1"/>
  <c r="H35" i="5" s="1"/>
  <c r="J70" i="7"/>
  <c r="J77" i="7" s="1"/>
  <c r="J30" i="11" s="1"/>
  <c r="V28" i="11"/>
  <c r="K53" i="7"/>
  <c r="G5" i="11"/>
  <c r="G31" i="11"/>
  <c r="S9" i="11"/>
  <c r="T27" i="11"/>
  <c r="G35" i="5"/>
  <c r="G38" i="5" s="1"/>
  <c r="K93" i="7"/>
  <c r="K101" i="7" s="1"/>
  <c r="X30" i="11" s="1"/>
  <c r="W28" i="11"/>
  <c r="K70" i="7" l="1"/>
  <c r="K77" i="7" s="1"/>
  <c r="K30" i="11" s="1"/>
  <c r="H27" i="11"/>
  <c r="G9" i="11"/>
  <c r="E12" i="12" s="1"/>
  <c r="L53" i="7"/>
  <c r="L28" i="11"/>
  <c r="L93" i="7"/>
  <c r="L101" i="7" s="1"/>
  <c r="Y30" i="11" s="1"/>
  <c r="T5" i="11"/>
  <c r="T31" i="11"/>
  <c r="M53" i="7"/>
  <c r="M28" i="11"/>
  <c r="L35" i="18"/>
  <c r="K35" i="18"/>
  <c r="K28" i="11"/>
  <c r="L70" i="7" l="1"/>
  <c r="L77" i="7" s="1"/>
  <c r="L30" i="11" s="1"/>
  <c r="T9" i="11"/>
  <c r="U27" i="11"/>
  <c r="N53" i="7"/>
  <c r="M35" i="18"/>
  <c r="X28" i="11"/>
  <c r="Z28" i="11"/>
  <c r="M93" i="7"/>
  <c r="Y28" i="11"/>
  <c r="H5" i="11"/>
  <c r="H31" i="11"/>
  <c r="M70" i="7" l="1"/>
  <c r="M77" i="7" s="1"/>
  <c r="M30" i="11" s="1"/>
  <c r="O53" i="7"/>
  <c r="O28" i="11"/>
  <c r="I27" i="11"/>
  <c r="H9" i="11"/>
  <c r="F12" i="12" s="1"/>
  <c r="M101" i="7"/>
  <c r="Z30" i="11" s="1"/>
  <c r="N93" i="7"/>
  <c r="N101" i="7" s="1"/>
  <c r="AA30" i="11" s="1"/>
  <c r="N28" i="11"/>
  <c r="U5" i="11"/>
  <c r="U31" i="11"/>
  <c r="D43" i="7" l="1"/>
  <c r="N70" i="7"/>
  <c r="AA28" i="11"/>
  <c r="AB28" i="11"/>
  <c r="O93" i="7"/>
  <c r="O101" i="7" s="1"/>
  <c r="AB30" i="11" s="1"/>
  <c r="U9" i="11"/>
  <c r="V27" i="11"/>
  <c r="I5" i="11"/>
  <c r="I31" i="11"/>
  <c r="N77" i="7" l="1"/>
  <c r="N30" i="11" s="1"/>
  <c r="O70" i="7"/>
  <c r="O77" i="7" s="1"/>
  <c r="O30" i="11" s="1"/>
  <c r="J27" i="11"/>
  <c r="V5" i="11"/>
  <c r="V31" i="11"/>
  <c r="W27" i="11" l="1"/>
  <c r="J31" i="11"/>
  <c r="W31" i="11" l="1"/>
  <c r="K27" i="11"/>
  <c r="K31" i="11" l="1"/>
  <c r="X27" i="11"/>
  <c r="L27" i="11" l="1"/>
  <c r="X31" i="11"/>
  <c r="L31" i="11" l="1"/>
  <c r="Y27" i="11"/>
  <c r="Y31" i="11" l="1"/>
  <c r="M27" i="11"/>
  <c r="Z27" i="11" l="1"/>
  <c r="M31" i="11"/>
  <c r="N27" i="11" l="1"/>
  <c r="Z31" i="11"/>
  <c r="AA27" i="11" l="1"/>
  <c r="N31" i="11"/>
  <c r="O27" i="11" l="1"/>
  <c r="AA31" i="11"/>
  <c r="O31" i="11" l="1"/>
  <c r="AB27" i="11"/>
  <c r="AB31" i="11" l="1"/>
  <c r="G48" i="2"/>
  <c r="H48" i="2" s="1"/>
  <c r="I109" i="7" l="1"/>
  <c r="M3" i="14" s="1"/>
  <c r="H55" i="2"/>
  <c r="H4" i="18"/>
  <c r="H60" i="2"/>
  <c r="J109" i="7"/>
  <c r="I48" i="2"/>
  <c r="G55" i="2"/>
  <c r="G4" i="18"/>
  <c r="I112" i="7" l="1"/>
  <c r="I114" i="7" s="1"/>
  <c r="H34" i="18" s="1"/>
  <c r="H43" i="18" s="1"/>
  <c r="I20" i="5" s="1"/>
  <c r="H7" i="5"/>
  <c r="G5" i="18"/>
  <c r="I7" i="5"/>
  <c r="H5" i="18"/>
  <c r="J110" i="7"/>
  <c r="N4" i="14" s="1"/>
  <c r="H65" i="2"/>
  <c r="H6" i="18" s="1"/>
  <c r="I118" i="7"/>
  <c r="N3" i="14"/>
  <c r="J112" i="7"/>
  <c r="J114" i="7" s="1"/>
  <c r="J118" i="7" s="1"/>
  <c r="I55" i="2"/>
  <c r="I4" i="18"/>
  <c r="I60" i="2"/>
  <c r="K109" i="7"/>
  <c r="J48" i="2"/>
  <c r="N16" i="14" l="1"/>
  <c r="I8" i="5"/>
  <c r="H8" i="18"/>
  <c r="K110" i="7"/>
  <c r="O16" i="14" s="1"/>
  <c r="I65" i="2"/>
  <c r="I6" i="18" s="1"/>
  <c r="I8" i="18" s="1"/>
  <c r="I5" i="18"/>
  <c r="J7" i="5"/>
  <c r="O4" i="14"/>
  <c r="J4" i="18"/>
  <c r="J60" i="2"/>
  <c r="J55" i="2"/>
  <c r="L109" i="7"/>
  <c r="K48" i="2"/>
  <c r="O3" i="14"/>
  <c r="K112" i="7"/>
  <c r="K114" i="7" s="1"/>
  <c r="J34" i="18" s="1"/>
  <c r="J43" i="18" s="1"/>
  <c r="K20" i="5" s="1"/>
  <c r="J125" i="7"/>
  <c r="J35" i="11" s="1"/>
  <c r="I125" i="7"/>
  <c r="I119" i="7"/>
  <c r="V37" i="11" s="1"/>
  <c r="V8" i="11" s="1"/>
  <c r="H37" i="5" s="1"/>
  <c r="H38" i="5" s="1"/>
  <c r="I34" i="18"/>
  <c r="I43" i="18" s="1"/>
  <c r="J20" i="5" s="1"/>
  <c r="J10" i="5" l="1"/>
  <c r="J22" i="5" s="1"/>
  <c r="I57" i="18"/>
  <c r="I59" i="18" s="1"/>
  <c r="J18" i="5" s="1"/>
  <c r="I10" i="5"/>
  <c r="H13" i="12" s="1"/>
  <c r="H57" i="18"/>
  <c r="H59" i="18" s="1"/>
  <c r="I18" i="5" s="1"/>
  <c r="J12" i="5"/>
  <c r="J5" i="18"/>
  <c r="K7" i="5"/>
  <c r="J8" i="5"/>
  <c r="L110" i="7"/>
  <c r="P4" i="14" s="1"/>
  <c r="J65" i="2"/>
  <c r="J6" i="18" s="1"/>
  <c r="J8" i="18" s="1"/>
  <c r="I126" i="7"/>
  <c r="J37" i="11" s="1"/>
  <c r="J8" i="11" s="1"/>
  <c r="I28" i="5" s="1"/>
  <c r="I36" i="5" s="1"/>
  <c r="I35" i="11"/>
  <c r="W35" i="11"/>
  <c r="W6" i="11" s="1"/>
  <c r="J6" i="11"/>
  <c r="G17" i="19" s="1"/>
  <c r="G19" i="19" s="1"/>
  <c r="K4" i="18"/>
  <c r="K60" i="2"/>
  <c r="K55" i="2"/>
  <c r="M109" i="7"/>
  <c r="L48" i="2"/>
  <c r="I120" i="7"/>
  <c r="J117" i="7" s="1"/>
  <c r="P3" i="14"/>
  <c r="L112" i="7"/>
  <c r="L114" i="7" s="1"/>
  <c r="L118" i="7" s="1"/>
  <c r="K118" i="7"/>
  <c r="P16" i="14"/>
  <c r="I13" i="12" l="1"/>
  <c r="N5" i="14"/>
  <c r="O5" i="14"/>
  <c r="O13" i="14" s="1"/>
  <c r="I12" i="5"/>
  <c r="J23" i="5"/>
  <c r="I8" i="12" s="1"/>
  <c r="I22" i="5"/>
  <c r="I23" i="5" s="1"/>
  <c r="K10" i="5"/>
  <c r="K22" i="5" s="1"/>
  <c r="J57" i="18"/>
  <c r="J59" i="18" s="1"/>
  <c r="K18" i="5" s="1"/>
  <c r="H11" i="19"/>
  <c r="G11" i="19"/>
  <c r="J26" i="5"/>
  <c r="N18" i="14"/>
  <c r="N6" i="14"/>
  <c r="N13" i="14"/>
  <c r="L7" i="5"/>
  <c r="K5" i="18"/>
  <c r="P5" i="14"/>
  <c r="K12" i="5"/>
  <c r="M110" i="7"/>
  <c r="Q4" i="14" s="1"/>
  <c r="K65" i="2"/>
  <c r="K6" i="18" s="1"/>
  <c r="K8" i="18" s="1"/>
  <c r="K8" i="5"/>
  <c r="O18" i="14"/>
  <c r="O6" i="14"/>
  <c r="I6" i="11"/>
  <c r="F17" i="19" s="1"/>
  <c r="F19" i="19" s="1"/>
  <c r="I38" i="11"/>
  <c r="V35" i="11"/>
  <c r="L125" i="7"/>
  <c r="L35" i="11" s="1"/>
  <c r="J119" i="7"/>
  <c r="W37" i="11" s="1"/>
  <c r="W8" i="11" s="1"/>
  <c r="I37" i="5" s="1"/>
  <c r="L60" i="2"/>
  <c r="L55" i="2"/>
  <c r="L4" i="18"/>
  <c r="M48" i="2"/>
  <c r="N109" i="7"/>
  <c r="I127" i="7"/>
  <c r="J124" i="7" s="1"/>
  <c r="K125" i="7"/>
  <c r="K35" i="11" s="1"/>
  <c r="K34" i="18"/>
  <c r="K43" i="18" s="1"/>
  <c r="L20" i="5" s="1"/>
  <c r="Q3" i="14"/>
  <c r="M112" i="7"/>
  <c r="M114" i="7" s="1"/>
  <c r="M118" i="7" s="1"/>
  <c r="J13" i="12" l="1"/>
  <c r="O7" i="14"/>
  <c r="O8" i="14" s="1"/>
  <c r="Q16" i="14"/>
  <c r="K23" i="5"/>
  <c r="K26" i="5" s="1"/>
  <c r="I5" i="19" s="1"/>
  <c r="L10" i="5"/>
  <c r="K13" i="12" s="1"/>
  <c r="J11" i="19" s="1"/>
  <c r="K57" i="18"/>
  <c r="K59" i="18" s="1"/>
  <c r="L18" i="5" s="1"/>
  <c r="I6" i="13"/>
  <c r="I10" i="13" s="1"/>
  <c r="O10" i="14" s="1"/>
  <c r="H5" i="19"/>
  <c r="I11" i="19"/>
  <c r="L12" i="5"/>
  <c r="M7" i="5"/>
  <c r="L5" i="18"/>
  <c r="H8" i="12"/>
  <c r="G9" i="19" s="1"/>
  <c r="N7" i="14"/>
  <c r="N8" i="14" s="1"/>
  <c r="I26" i="5"/>
  <c r="G5" i="19" s="1"/>
  <c r="L8" i="5"/>
  <c r="P18" i="14"/>
  <c r="P6" i="14"/>
  <c r="N110" i="7"/>
  <c r="R4" i="14" s="1"/>
  <c r="L65" i="2"/>
  <c r="L6" i="18" s="1"/>
  <c r="P13" i="14"/>
  <c r="J120" i="7"/>
  <c r="K117" i="7" s="1"/>
  <c r="K119" i="7" s="1"/>
  <c r="X37" i="11" s="1"/>
  <c r="X8" i="11" s="1"/>
  <c r="J37" i="5" s="1"/>
  <c r="J126" i="7"/>
  <c r="K37" i="11" s="1"/>
  <c r="K8" i="11" s="1"/>
  <c r="J28" i="5" s="1"/>
  <c r="R3" i="14"/>
  <c r="N112" i="7"/>
  <c r="N114" i="7" s="1"/>
  <c r="Y35" i="11"/>
  <c r="Y6" i="11" s="1"/>
  <c r="L6" i="11"/>
  <c r="I17" i="19" s="1"/>
  <c r="I19" i="19" s="1"/>
  <c r="I9" i="11"/>
  <c r="G12" i="12" s="1"/>
  <c r="J34" i="11"/>
  <c r="L34" i="18"/>
  <c r="L43" i="18" s="1"/>
  <c r="M20" i="5" s="1"/>
  <c r="M55" i="2"/>
  <c r="M60" i="2"/>
  <c r="M4" i="18"/>
  <c r="O109" i="7"/>
  <c r="R16" i="14"/>
  <c r="M125" i="7"/>
  <c r="M35" i="11" s="1"/>
  <c r="X35" i="11"/>
  <c r="X6" i="11" s="1"/>
  <c r="K6" i="11"/>
  <c r="H17" i="19" s="1"/>
  <c r="H19" i="19" s="1"/>
  <c r="V6" i="11"/>
  <c r="V38" i="11"/>
  <c r="J8" i="12" l="1"/>
  <c r="I9" i="19" s="1"/>
  <c r="Q5" i="14"/>
  <c r="L22" i="5"/>
  <c r="P7" i="14"/>
  <c r="K120" i="7"/>
  <c r="L117" i="7" s="1"/>
  <c r="L119" i="7" s="1"/>
  <c r="Y37" i="11" s="1"/>
  <c r="Y8" i="11" s="1"/>
  <c r="K37" i="5" s="1"/>
  <c r="H9" i="19"/>
  <c r="L23" i="5"/>
  <c r="K8" i="12" s="1"/>
  <c r="J9" i="19" s="1"/>
  <c r="P8" i="14"/>
  <c r="J6" i="13"/>
  <c r="J10" i="13" s="1"/>
  <c r="P10" i="14" s="1"/>
  <c r="M8" i="5"/>
  <c r="L8" i="18"/>
  <c r="O110" i="7"/>
  <c r="S4" i="14" s="1"/>
  <c r="M65" i="2"/>
  <c r="M6" i="18" s="1"/>
  <c r="N8" i="5" s="1"/>
  <c r="M5" i="18"/>
  <c r="N7" i="5"/>
  <c r="I29" i="5"/>
  <c r="I35" i="5" s="1"/>
  <c r="I38" i="5" s="1"/>
  <c r="H6" i="13"/>
  <c r="H10" i="13" s="1"/>
  <c r="N10" i="14" s="1"/>
  <c r="Q18" i="14"/>
  <c r="Q6" i="14"/>
  <c r="Q13" i="14"/>
  <c r="J127" i="7"/>
  <c r="K124" i="7" s="1"/>
  <c r="K126" i="7" s="1"/>
  <c r="L37" i="11" s="1"/>
  <c r="L8" i="11" s="1"/>
  <c r="K28" i="5" s="1"/>
  <c r="J5" i="11"/>
  <c r="J38" i="11"/>
  <c r="N118" i="7"/>
  <c r="M34" i="18"/>
  <c r="M43" i="18" s="1"/>
  <c r="N20" i="5" s="1"/>
  <c r="V9" i="11"/>
  <c r="W34" i="11"/>
  <c r="Z35" i="11"/>
  <c r="Z6" i="11" s="1"/>
  <c r="M6" i="11"/>
  <c r="J17" i="19" s="1"/>
  <c r="J19" i="19" s="1"/>
  <c r="S3" i="14"/>
  <c r="O112" i="7"/>
  <c r="O114" i="7" s="1"/>
  <c r="O118" i="7" s="1"/>
  <c r="J36" i="5"/>
  <c r="J29" i="5"/>
  <c r="Q7" i="14"/>
  <c r="L26" i="5"/>
  <c r="J5" i="19" s="1"/>
  <c r="M10" i="5" l="1"/>
  <c r="L57" i="18"/>
  <c r="L59" i="18" s="1"/>
  <c r="M18" i="5" s="1"/>
  <c r="S16" i="14"/>
  <c r="Q8" i="14"/>
  <c r="L13" i="12"/>
  <c r="M22" i="5"/>
  <c r="R5" i="14"/>
  <c r="M12" i="5"/>
  <c r="M8" i="18"/>
  <c r="O125" i="7"/>
  <c r="O35" i="11" s="1"/>
  <c r="W5" i="11"/>
  <c r="W38" i="11"/>
  <c r="J9" i="11"/>
  <c r="H12" i="12" s="1"/>
  <c r="K34" i="11"/>
  <c r="L120" i="7"/>
  <c r="M117" i="7" s="1"/>
  <c r="K6" i="13"/>
  <c r="K10" i="13" s="1"/>
  <c r="K36" i="5"/>
  <c r="K29" i="5"/>
  <c r="J35" i="5"/>
  <c r="J38" i="5" s="1"/>
  <c r="K127" i="7"/>
  <c r="L124" i="7" s="1"/>
  <c r="N125" i="7"/>
  <c r="N35" i="11" s="1"/>
  <c r="N10" i="5" l="1"/>
  <c r="M13" i="12" s="1"/>
  <c r="L11" i="19" s="1"/>
  <c r="M57" i="18"/>
  <c r="M59" i="18" s="1"/>
  <c r="N18" i="5" s="1"/>
  <c r="K11" i="19"/>
  <c r="R18" i="14"/>
  <c r="R6" i="14"/>
  <c r="R13" i="14"/>
  <c r="N22" i="5"/>
  <c r="S5" i="14"/>
  <c r="N12" i="5"/>
  <c r="M23" i="5"/>
  <c r="M26" i="5" s="1"/>
  <c r="K5" i="19" s="1"/>
  <c r="K35" i="5"/>
  <c r="K38" i="5" s="1"/>
  <c r="M119" i="7"/>
  <c r="Z37" i="11" s="1"/>
  <c r="Z8" i="11" s="1"/>
  <c r="L37" i="5" s="1"/>
  <c r="AB35" i="11"/>
  <c r="AB6" i="11" s="1"/>
  <c r="O6" i="11"/>
  <c r="L17" i="19" s="1"/>
  <c r="L19" i="19" s="1"/>
  <c r="W9" i="11"/>
  <c r="X34" i="11"/>
  <c r="AA35" i="11"/>
  <c r="AA6" i="11" s="1"/>
  <c r="N6" i="11"/>
  <c r="K17" i="19" s="1"/>
  <c r="K19" i="19" s="1"/>
  <c r="L126" i="7"/>
  <c r="M37" i="11" s="1"/>
  <c r="M8" i="11" s="1"/>
  <c r="L28" i="5" s="1"/>
  <c r="Q10" i="14"/>
  <c r="K5" i="11"/>
  <c r="K38" i="11"/>
  <c r="N23" i="5" l="1"/>
  <c r="N26" i="5" s="1"/>
  <c r="L5" i="19" s="1"/>
  <c r="R7" i="14"/>
  <c r="R8" i="14" s="1"/>
  <c r="L8" i="12"/>
  <c r="K9" i="19" s="1"/>
  <c r="L6" i="13"/>
  <c r="L10" i="13" s="1"/>
  <c r="S18" i="14"/>
  <c r="S6" i="14"/>
  <c r="S13" i="14"/>
  <c r="L127" i="7"/>
  <c r="M124" i="7" s="1"/>
  <c r="M126" i="7" s="1"/>
  <c r="N37" i="11" s="1"/>
  <c r="N8" i="11" s="1"/>
  <c r="M28" i="5" s="1"/>
  <c r="M120" i="7"/>
  <c r="N117" i="7" s="1"/>
  <c r="X5" i="11"/>
  <c r="X38" i="11"/>
  <c r="L34" i="11"/>
  <c r="K9" i="11"/>
  <c r="I12" i="12" s="1"/>
  <c r="L36" i="5"/>
  <c r="L29" i="5"/>
  <c r="M8" i="12" l="1"/>
  <c r="L9" i="19" s="1"/>
  <c r="M6" i="13"/>
  <c r="M10" i="13" s="1"/>
  <c r="S10" i="14" s="1"/>
  <c r="S7" i="14"/>
  <c r="S8" i="14" s="1"/>
  <c r="R10" i="14"/>
  <c r="M127" i="7"/>
  <c r="N124" i="7" s="1"/>
  <c r="N126" i="7" s="1"/>
  <c r="O37" i="11" s="1"/>
  <c r="O8" i="11" s="1"/>
  <c r="N28" i="5" s="1"/>
  <c r="X9" i="11"/>
  <c r="Y34" i="11"/>
  <c r="N119" i="7"/>
  <c r="AA37" i="11" s="1"/>
  <c r="AA8" i="11" s="1"/>
  <c r="M37" i="5" s="1"/>
  <c r="L5" i="11"/>
  <c r="L38" i="11"/>
  <c r="L35" i="5"/>
  <c r="L38" i="5" s="1"/>
  <c r="M36" i="5"/>
  <c r="M29" i="5"/>
  <c r="N127" i="7" l="1"/>
  <c r="O124" i="7" s="1"/>
  <c r="O126" i="7" s="1"/>
  <c r="O127" i="7" s="1"/>
  <c r="M34" i="11"/>
  <c r="L9" i="11"/>
  <c r="J12" i="12" s="1"/>
  <c r="M35" i="5"/>
  <c r="M38" i="5" s="1"/>
  <c r="N120" i="7"/>
  <c r="O117" i="7" s="1"/>
  <c r="N36" i="5"/>
  <c r="N29" i="5"/>
  <c r="Y5" i="11"/>
  <c r="Y38" i="11"/>
  <c r="N35" i="5" l="1"/>
  <c r="Y9" i="11"/>
  <c r="Z34" i="11"/>
  <c r="M5" i="11"/>
  <c r="M38" i="11"/>
  <c r="O119" i="7"/>
  <c r="AB37" i="11" s="1"/>
  <c r="AB8" i="11" s="1"/>
  <c r="N37" i="5" s="1"/>
  <c r="N34" i="11" l="1"/>
  <c r="M9" i="11"/>
  <c r="K12" i="12" s="1"/>
  <c r="N38" i="5"/>
  <c r="Z5" i="11"/>
  <c r="Z38" i="11"/>
  <c r="O120" i="7"/>
  <c r="AA34" i="11" l="1"/>
  <c r="Z9" i="11"/>
  <c r="N5" i="11"/>
  <c r="N38" i="11"/>
  <c r="O34" i="11" l="1"/>
  <c r="N9" i="11"/>
  <c r="L12" i="12" s="1"/>
  <c r="AA5" i="11"/>
  <c r="AA38" i="11"/>
  <c r="AA9" i="11" l="1"/>
  <c r="AB34" i="11"/>
  <c r="O5" i="11"/>
  <c r="O38" i="11"/>
  <c r="O9" i="11" s="1"/>
  <c r="M12" i="12" s="1"/>
  <c r="AB5" i="11" l="1"/>
  <c r="AB38" i="11"/>
  <c r="AB9" i="11" s="1"/>
  <c r="E23" i="5"/>
  <c r="J7" i="14" l="1"/>
  <c r="J8" i="14" s="1"/>
  <c r="E26" i="5"/>
  <c r="C5" i="19" s="1"/>
  <c r="D8" i="12"/>
  <c r="C9" i="19" l="1"/>
  <c r="D9" i="19"/>
  <c r="D6" i="13"/>
  <c r="D10" i="13" s="1"/>
  <c r="J10" i="14" s="1"/>
  <c r="E29" i="5"/>
  <c r="E35" i="5" l="1"/>
  <c r="E38" i="5" s="1"/>
  <c r="N39" i="5" l="1"/>
  <c r="N30" i="5" s="1"/>
  <c r="L8" i="19" s="1"/>
  <c r="F39" i="5"/>
  <c r="F30" i="5" s="1"/>
  <c r="D8" i="19" s="1"/>
  <c r="I39" i="5"/>
  <c r="I30" i="5" s="1"/>
  <c r="G8" i="19" s="1"/>
  <c r="K39" i="5"/>
  <c r="K30" i="5" s="1"/>
  <c r="I8" i="19" s="1"/>
  <c r="E39" i="5"/>
  <c r="E30" i="5" s="1"/>
  <c r="C8" i="19" s="1"/>
  <c r="M39" i="5"/>
  <c r="M30" i="5" s="1"/>
  <c r="K8" i="19" s="1"/>
  <c r="G39" i="5"/>
  <c r="G30" i="5" s="1"/>
  <c r="E8" i="19" s="1"/>
  <c r="J39" i="5"/>
  <c r="J30" i="5" s="1"/>
  <c r="H8" i="19" s="1"/>
  <c r="H39" i="5"/>
  <c r="H30" i="5" s="1"/>
  <c r="F8" i="19" s="1"/>
  <c r="L39" i="5"/>
  <c r="L30" i="5" s="1"/>
  <c r="J8" i="19" s="1"/>
  <c r="I9" i="12" l="1"/>
  <c r="J31" i="5"/>
  <c r="K31" i="5"/>
  <c r="J9" i="12"/>
  <c r="G31" i="5"/>
  <c r="F9" i="12"/>
  <c r="H9" i="12"/>
  <c r="I31" i="5"/>
  <c r="K9" i="12"/>
  <c r="L31" i="5"/>
  <c r="L9" i="12"/>
  <c r="M31" i="5"/>
  <c r="F31" i="5"/>
  <c r="E9" i="12"/>
  <c r="G9" i="12"/>
  <c r="H31" i="5"/>
  <c r="D9" i="12"/>
  <c r="C10" i="19" s="1"/>
  <c r="C14" i="19" s="1"/>
  <c r="C27" i="19" s="1"/>
  <c r="C29" i="19" s="1"/>
  <c r="D28" i="19" s="1"/>
  <c r="E31" i="5"/>
  <c r="D6" i="12" s="1"/>
  <c r="N31" i="5"/>
  <c r="M9" i="12"/>
  <c r="F10" i="19" l="1"/>
  <c r="F14" i="19" s="1"/>
  <c r="F27" i="19" s="1"/>
  <c r="J10" i="19"/>
  <c r="J14" i="19" s="1"/>
  <c r="J27" i="19" s="1"/>
  <c r="H10" i="19"/>
  <c r="H14" i="19" s="1"/>
  <c r="H27" i="19" s="1"/>
  <c r="K10" i="19"/>
  <c r="K14" i="19" s="1"/>
  <c r="K27" i="19" s="1"/>
  <c r="D10" i="19"/>
  <c r="D14" i="19" s="1"/>
  <c r="D27" i="19" s="1"/>
  <c r="D29" i="19" s="1"/>
  <c r="E28" i="19" s="1"/>
  <c r="E10" i="19"/>
  <c r="E14" i="19" s="1"/>
  <c r="E27" i="19" s="1"/>
  <c r="L10" i="19"/>
  <c r="L14" i="19" s="1"/>
  <c r="L27" i="19" s="1"/>
  <c r="I10" i="19"/>
  <c r="I14" i="19" s="1"/>
  <c r="I27" i="19" s="1"/>
  <c r="G10" i="19"/>
  <c r="G14" i="19" s="1"/>
  <c r="G27" i="19" s="1"/>
  <c r="E16" i="13"/>
  <c r="E18" i="13" s="1"/>
  <c r="K11" i="14" s="1"/>
  <c r="E6" i="12"/>
  <c r="D10" i="12"/>
  <c r="E29" i="19" l="1"/>
  <c r="F28" i="19" s="1"/>
  <c r="F29" i="19" s="1"/>
  <c r="G28" i="19" s="1"/>
  <c r="G29" i="19" s="1"/>
  <c r="H28" i="19" s="1"/>
  <c r="H29" i="19" s="1"/>
  <c r="I28" i="19" s="1"/>
  <c r="I29" i="19" s="1"/>
  <c r="J28" i="19" s="1"/>
  <c r="J29" i="19" s="1"/>
  <c r="K28" i="19" s="1"/>
  <c r="K29" i="19" s="1"/>
  <c r="L28" i="19" s="1"/>
  <c r="L29" i="19" s="1"/>
  <c r="D16" i="12"/>
  <c r="D17" i="12" s="1"/>
  <c r="D18" i="12" s="1"/>
  <c r="F16" i="13"/>
  <c r="F18" i="13" s="1"/>
  <c r="L11" i="14" s="1"/>
  <c r="E10" i="12"/>
  <c r="F6" i="12"/>
  <c r="G16" i="13" l="1"/>
  <c r="G18" i="13" s="1"/>
  <c r="M11" i="14" s="1"/>
  <c r="F10" i="12"/>
  <c r="G6" i="12"/>
  <c r="E16" i="12"/>
  <c r="E17" i="12" s="1"/>
  <c r="E18" i="12" s="1"/>
  <c r="H16" i="13" l="1"/>
  <c r="H18" i="13" s="1"/>
  <c r="N11" i="14" s="1"/>
  <c r="G10" i="12"/>
  <c r="H6" i="12"/>
  <c r="F16" i="12"/>
  <c r="F17" i="12" s="1"/>
  <c r="F18" i="12" s="1"/>
  <c r="I6" i="12" l="1"/>
  <c r="I16" i="13"/>
  <c r="I18" i="13" s="1"/>
  <c r="O11" i="14" s="1"/>
  <c r="H10" i="12"/>
  <c r="G16" i="12"/>
  <c r="G17" i="12" s="1"/>
  <c r="G18" i="12" s="1"/>
  <c r="H16" i="12" l="1"/>
  <c r="H17" i="12" s="1"/>
  <c r="H18" i="12" s="1"/>
  <c r="J6" i="12"/>
  <c r="I10" i="12"/>
  <c r="J16" i="13"/>
  <c r="J18" i="13" s="1"/>
  <c r="P11" i="14" s="1"/>
  <c r="J10" i="12" l="1"/>
  <c r="K6" i="12"/>
  <c r="K16" i="13"/>
  <c r="K18" i="13" s="1"/>
  <c r="Q11" i="14" s="1"/>
  <c r="I16" i="12"/>
  <c r="I17" i="12" s="1"/>
  <c r="I18" i="12" s="1"/>
  <c r="L16" i="13" l="1"/>
  <c r="L18" i="13" s="1"/>
  <c r="R11" i="14" s="1"/>
  <c r="K10" i="12"/>
  <c r="L6" i="12"/>
  <c r="J16" i="12"/>
  <c r="J17" i="12" l="1"/>
  <c r="J18" i="12" s="1"/>
  <c r="M16" i="13"/>
  <c r="M18" i="13" s="1"/>
  <c r="S11" i="14" s="1"/>
  <c r="L10" i="12"/>
  <c r="M6" i="12"/>
  <c r="M10" i="12" s="1"/>
  <c r="K16" i="12"/>
  <c r="K17" i="12" l="1"/>
  <c r="K18" i="12" s="1"/>
  <c r="L16" i="12"/>
  <c r="M16" i="12"/>
  <c r="M17" i="12" s="1"/>
  <c r="M18" i="12" s="1"/>
  <c r="L17" i="12" l="1"/>
  <c r="L18" i="12" s="1"/>
</calcChain>
</file>

<file path=xl/sharedStrings.xml><?xml version="1.0" encoding="utf-8"?>
<sst xmlns="http://schemas.openxmlformats.org/spreadsheetml/2006/main" count="708" uniqueCount="306">
  <si>
    <t>MW</t>
  </si>
  <si>
    <t>Revenue</t>
  </si>
  <si>
    <t>Expenses</t>
  </si>
  <si>
    <t>Power</t>
  </si>
  <si>
    <t>Salaries</t>
  </si>
  <si>
    <t>Repairs</t>
  </si>
  <si>
    <t>AMC Cost</t>
  </si>
  <si>
    <t>Others</t>
  </si>
  <si>
    <t>Interest</t>
  </si>
  <si>
    <t>Depreciation</t>
  </si>
  <si>
    <t>PBT</t>
  </si>
  <si>
    <t>Tax</t>
  </si>
  <si>
    <t>Capex</t>
  </si>
  <si>
    <t>Power Cost</t>
  </si>
  <si>
    <t>PUE</t>
  </si>
  <si>
    <t>Telecom</t>
  </si>
  <si>
    <t>Land</t>
  </si>
  <si>
    <t>Building</t>
  </si>
  <si>
    <t>Nos.</t>
  </si>
  <si>
    <t>Diversity Factor</t>
  </si>
  <si>
    <t>Mumbai 2</t>
  </si>
  <si>
    <t>Mumbai 3</t>
  </si>
  <si>
    <t>Chennai</t>
  </si>
  <si>
    <t>Noida</t>
  </si>
  <si>
    <t>Bangaluru</t>
  </si>
  <si>
    <t>Hyderabad</t>
  </si>
  <si>
    <t>Kolkata</t>
  </si>
  <si>
    <t>Rate</t>
  </si>
  <si>
    <t>Structure Assupmtions</t>
  </si>
  <si>
    <t>Sq. Ft.</t>
  </si>
  <si>
    <t>Capex Assumptions</t>
  </si>
  <si>
    <t>(Amount in Crs.)</t>
  </si>
  <si>
    <t>Total</t>
  </si>
  <si>
    <t>PSF</t>
  </si>
  <si>
    <t>MEP Cost</t>
  </si>
  <si>
    <t>Gross MW</t>
  </si>
  <si>
    <t>Cost/MW</t>
  </si>
  <si>
    <t>Depreciation as per Companies Act, 2013</t>
  </si>
  <si>
    <t>IT Load Sold (KVA)</t>
  </si>
  <si>
    <t>Power Revenue</t>
  </si>
  <si>
    <t>Escalations</t>
  </si>
  <si>
    <t>Escalation</t>
  </si>
  <si>
    <t>Cost per Rack</t>
  </si>
  <si>
    <t>Repairs Cost</t>
  </si>
  <si>
    <t>Profit and Loss Account</t>
  </si>
  <si>
    <t>Racks Installed</t>
  </si>
  <si>
    <t>Total Revenue</t>
  </si>
  <si>
    <t>Total Cost</t>
  </si>
  <si>
    <t>INR Crs.</t>
  </si>
  <si>
    <t>Profit Before Tax</t>
  </si>
  <si>
    <t>Profit After Tax</t>
  </si>
  <si>
    <t>Computation of Tax</t>
  </si>
  <si>
    <t>Add: Depreciation as per Accounts</t>
  </si>
  <si>
    <t>Less: Depreciation as per Tax</t>
  </si>
  <si>
    <t>Profit as per Income Tax</t>
  </si>
  <si>
    <t>Balance Sheet</t>
  </si>
  <si>
    <t>Equity</t>
  </si>
  <si>
    <t>Reserve and Surplus</t>
  </si>
  <si>
    <t>Loan</t>
  </si>
  <si>
    <t>Current Liabilities</t>
  </si>
  <si>
    <t>Fixed Assets</t>
  </si>
  <si>
    <t>Debtors</t>
  </si>
  <si>
    <t>Other Current Assets</t>
  </si>
  <si>
    <t>Cash and Bank Balance</t>
  </si>
  <si>
    <t>Cost/Acre</t>
  </si>
  <si>
    <t>AMC</t>
  </si>
  <si>
    <t>AMC Cost (in Crs.)</t>
  </si>
  <si>
    <t>Other Assumptions</t>
  </si>
  <si>
    <t>Web Werks India Pvt. Ltd.</t>
  </si>
  <si>
    <t>Existing Facility Expansion Plan</t>
  </si>
  <si>
    <t>Racks Occupied</t>
  </si>
  <si>
    <t>Existing Facility</t>
  </si>
  <si>
    <t>Total EBIDTA</t>
  </si>
  <si>
    <t>New Racks</t>
  </si>
  <si>
    <t>Opening Balance</t>
  </si>
  <si>
    <t>Closing Balance</t>
  </si>
  <si>
    <t>Depreciation as per Income Tax Act,1961</t>
  </si>
  <si>
    <t>Land Acquired</t>
  </si>
  <si>
    <t>Plant and Machinery</t>
  </si>
  <si>
    <t>Put to Use</t>
  </si>
  <si>
    <t>Building (in Crs.)</t>
  </si>
  <si>
    <t>Land (in Crs.)</t>
  </si>
  <si>
    <t>Depreciation on Building</t>
  </si>
  <si>
    <t>Depreciation on Plant and Machinery</t>
  </si>
  <si>
    <t>Depreciation on Plant and Machinery (in Crs.)</t>
  </si>
  <si>
    <t>Depreciation as per Income-tax Act,1961</t>
  </si>
  <si>
    <t>Put to use</t>
  </si>
  <si>
    <t>In Crs.</t>
  </si>
  <si>
    <t>Projects Details</t>
  </si>
  <si>
    <t xml:space="preserve">Capex Budget </t>
  </si>
  <si>
    <t>Cash Flow Statement</t>
  </si>
  <si>
    <t>Receivables on Revenue (in Days)</t>
  </si>
  <si>
    <t>Change in Receivables</t>
  </si>
  <si>
    <t>Payables on Expenses (in Days)</t>
  </si>
  <si>
    <t>Change in Payables</t>
  </si>
  <si>
    <t>Change in Provisions</t>
  </si>
  <si>
    <t>Change in Other Current Assets</t>
  </si>
  <si>
    <t>Power Cost and Power Revenue Working</t>
  </si>
  <si>
    <t>Occupied Racks</t>
  </si>
  <si>
    <t>Land to be</t>
  </si>
  <si>
    <t xml:space="preserve"> Acquired</t>
  </si>
  <si>
    <t>Land Area</t>
  </si>
  <si>
    <t>(in Acres)</t>
  </si>
  <si>
    <t>Particulars</t>
  </si>
  <si>
    <t>Business Model</t>
  </si>
  <si>
    <t>Existing</t>
  </si>
  <si>
    <t>TDS on Revenue (Other Current Assets)</t>
  </si>
  <si>
    <t>Share Capital</t>
  </si>
  <si>
    <t>A</t>
  </si>
  <si>
    <t>Non-current liabilities</t>
  </si>
  <si>
    <t>long-term borrowings</t>
  </si>
  <si>
    <t>Long-term provisions</t>
  </si>
  <si>
    <t xml:space="preserve">Deferred tax liabilities </t>
  </si>
  <si>
    <t>Other long term liabilities</t>
  </si>
  <si>
    <t>B</t>
  </si>
  <si>
    <t>Current liabilities</t>
  </si>
  <si>
    <t>Trade payable</t>
  </si>
  <si>
    <t>Short term borrowings</t>
  </si>
  <si>
    <t>Other current liabilties</t>
  </si>
  <si>
    <t>Short term provisions</t>
  </si>
  <si>
    <t>C</t>
  </si>
  <si>
    <t>A+B+C</t>
  </si>
  <si>
    <t>ASSETS</t>
  </si>
  <si>
    <t>Non-current assets</t>
  </si>
  <si>
    <t>Property, Plant and Equipment</t>
  </si>
  <si>
    <t>i)    Tangible assets</t>
  </si>
  <si>
    <t>ii)   Work in Progress</t>
  </si>
  <si>
    <t>ii)   Intangible assets</t>
  </si>
  <si>
    <t>Non-current investment</t>
  </si>
  <si>
    <t>Deferred tax assets (net)</t>
  </si>
  <si>
    <t>Long-term loans and advances</t>
  </si>
  <si>
    <t>D</t>
  </si>
  <si>
    <t>Current assets</t>
  </si>
  <si>
    <t>Current Investment</t>
  </si>
  <si>
    <t>Trade receivables</t>
  </si>
  <si>
    <t>Cash and cash equivalents</t>
  </si>
  <si>
    <t>Short-term loans and advances</t>
  </si>
  <si>
    <t>Other current assets</t>
  </si>
  <si>
    <t>E</t>
  </si>
  <si>
    <t>D+E</t>
  </si>
  <si>
    <t>Income</t>
  </si>
  <si>
    <t>Other Operating Income</t>
  </si>
  <si>
    <t>Other Non Operating Income</t>
  </si>
  <si>
    <t xml:space="preserve"> Total Revenue </t>
  </si>
  <si>
    <t>Employee benefit expense</t>
  </si>
  <si>
    <t>Power &amp; Electricity Charges</t>
  </si>
  <si>
    <t>Internet &amp; Leaseline Charges</t>
  </si>
  <si>
    <t>Software Hosting &amp; Development Exp</t>
  </si>
  <si>
    <t>Administration Cost</t>
  </si>
  <si>
    <t>Rent Expenses</t>
  </si>
  <si>
    <t>Total Expenses</t>
  </si>
  <si>
    <t>EBIDTA</t>
  </si>
  <si>
    <t>C=A-B</t>
  </si>
  <si>
    <t>Financial costs</t>
  </si>
  <si>
    <t>Depreciation and amortization expense</t>
  </si>
  <si>
    <t>Extraordinary Expenses</t>
  </si>
  <si>
    <t xml:space="preserve"> Profit before Tax</t>
  </si>
  <si>
    <t>E=C-D</t>
  </si>
  <si>
    <t xml:space="preserve"> Tax expense:</t>
  </si>
  <si>
    <t>Current tax</t>
  </si>
  <si>
    <t>Deferred tax</t>
  </si>
  <si>
    <t>Earlier year tax adjustment</t>
  </si>
  <si>
    <t xml:space="preserve"> Profit/(Loss) for the year</t>
  </si>
  <si>
    <t>F</t>
  </si>
  <si>
    <t>General Reserve</t>
  </si>
  <si>
    <t>Securities Premium</t>
  </si>
  <si>
    <t>Additional Securities Premium</t>
  </si>
  <si>
    <t>Opening Profit and Loss Account</t>
  </si>
  <si>
    <t>Profit and Loss during the Year</t>
  </si>
  <si>
    <t>Fixed Assets Register</t>
  </si>
  <si>
    <t>Office Premises</t>
  </si>
  <si>
    <t>Electrical Installations and Equipment</t>
  </si>
  <si>
    <t>Furniture and fittings</t>
  </si>
  <si>
    <t>Office Equipments</t>
  </si>
  <si>
    <t>Plant &amp; Marchinary</t>
  </si>
  <si>
    <t>Intangiable Assets</t>
  </si>
  <si>
    <t>Addition</t>
  </si>
  <si>
    <t>Deletion</t>
  </si>
  <si>
    <t>Purchase</t>
  </si>
  <si>
    <t>Sale</t>
  </si>
  <si>
    <t>As per Companies Act, 2013</t>
  </si>
  <si>
    <t>Computer and Servers</t>
  </si>
  <si>
    <t>Work In Progress</t>
  </si>
  <si>
    <t>Transfer</t>
  </si>
  <si>
    <t>Data Center Building</t>
  </si>
  <si>
    <t>Plant &amp; Machinery New DC</t>
  </si>
  <si>
    <t>B/f</t>
  </si>
  <si>
    <t>Provisions</t>
  </si>
  <si>
    <t>Non Current Investment</t>
  </si>
  <si>
    <t>(in Crs.)</t>
  </si>
  <si>
    <t>till date(in Acres)</t>
  </si>
  <si>
    <t>Total Structure Cost (in Crs.)</t>
  </si>
  <si>
    <t>(in MW)</t>
  </si>
  <si>
    <t>Expansion of Existing Facility</t>
  </si>
  <si>
    <t>Other Cost for Existing Facility</t>
  </si>
  <si>
    <t>New Expansion</t>
  </si>
  <si>
    <t>Plant &amp; Machinery Existing Expansion</t>
  </si>
  <si>
    <t>Computers</t>
  </si>
  <si>
    <t>In Nos.</t>
  </si>
  <si>
    <t>Change in Non Current Investment</t>
  </si>
  <si>
    <t>As per Income-tax Act,1961</t>
  </si>
  <si>
    <t>Payable on Loan</t>
  </si>
  <si>
    <t>DSCR</t>
  </si>
  <si>
    <t>FY 22</t>
  </si>
  <si>
    <t>FY 23</t>
  </si>
  <si>
    <t>FY 24</t>
  </si>
  <si>
    <t>FY 25</t>
  </si>
  <si>
    <t>FY 26</t>
  </si>
  <si>
    <t>FY 27</t>
  </si>
  <si>
    <t>FY 28</t>
  </si>
  <si>
    <t>FY 29</t>
  </si>
  <si>
    <t>FY 30</t>
  </si>
  <si>
    <t>FY 31</t>
  </si>
  <si>
    <t>Capex and Depreciation</t>
  </si>
  <si>
    <t>Sold IT Capacity (in MW)</t>
  </si>
  <si>
    <t>Capacity IT Load (in MW)</t>
  </si>
  <si>
    <t>Hosting Revenue (in Crs.)</t>
  </si>
  <si>
    <t>Capex (in Crs.)</t>
  </si>
  <si>
    <t>Expenses (in Crs.)</t>
  </si>
  <si>
    <t>Total Income (in Crs.)</t>
  </si>
  <si>
    <t>EBIDTA (in Crs.)</t>
  </si>
  <si>
    <t xml:space="preserve">Ratios </t>
  </si>
  <si>
    <t>Debt</t>
  </si>
  <si>
    <t xml:space="preserve">Debt/Equity </t>
  </si>
  <si>
    <t>Debt Equity Ratio</t>
  </si>
  <si>
    <t>Debt/ Equity</t>
  </si>
  <si>
    <t>ROA</t>
  </si>
  <si>
    <t>Project</t>
  </si>
  <si>
    <t>Telcom &amp; Licenses</t>
  </si>
  <si>
    <t>Cost Assumptions</t>
  </si>
  <si>
    <t>Esclation</t>
  </si>
  <si>
    <t>Repairs p.a.</t>
  </si>
  <si>
    <t>Racks Installed (3 KVA)</t>
  </si>
  <si>
    <t>Racks Occupied (3 KVA)</t>
  </si>
  <si>
    <t>AMC%</t>
  </si>
  <si>
    <t>Rent</t>
  </si>
  <si>
    <t>Other Cost</t>
  </si>
  <si>
    <t>AMC Cost to MEP Ratio</t>
  </si>
  <si>
    <t>Repairs p.a. Per MW</t>
  </si>
  <si>
    <t>Marketing Cost</t>
  </si>
  <si>
    <t>Closing Bank Balance</t>
  </si>
  <si>
    <t>Existing Expansion</t>
  </si>
  <si>
    <t>No. of Racks sold</t>
  </si>
  <si>
    <t>New Projects</t>
  </si>
  <si>
    <t xml:space="preserve">Less: </t>
  </si>
  <si>
    <t>Cash Flow from Investing Activities</t>
  </si>
  <si>
    <t>Cash Flow From Operations</t>
  </si>
  <si>
    <t>Cash Flow from Financing Activities</t>
  </si>
  <si>
    <t>Equity Raise</t>
  </si>
  <si>
    <t>Cash Flow</t>
  </si>
  <si>
    <t>Opening Bank Balance</t>
  </si>
  <si>
    <t>Interest Rate</t>
  </si>
  <si>
    <t>Net Debt Raise</t>
  </si>
  <si>
    <t>Repayment Schedule</t>
  </si>
  <si>
    <t>Debt Raise</t>
  </si>
  <si>
    <t>Principal repayment</t>
  </si>
  <si>
    <t>Fund Raise</t>
  </si>
  <si>
    <t>Morat</t>
  </si>
  <si>
    <t>Tenor EMI</t>
  </si>
  <si>
    <t>Capacity (IT Load Sold)</t>
  </si>
  <si>
    <t>Capacity (IT Load Installed)</t>
  </si>
  <si>
    <t>Front Load</t>
  </si>
  <si>
    <t>Plant and Machinery (Front Load)</t>
  </si>
  <si>
    <t>Plant and Machinery (Balance MEP)</t>
  </si>
  <si>
    <t>Cummulative Capacity</t>
  </si>
  <si>
    <t>Average Revenue per Rack per annum</t>
  </si>
  <si>
    <t>Units (in Crs.)</t>
  </si>
  <si>
    <t>Rate Per Unit</t>
  </si>
  <si>
    <t>Power Sale (in Crs.)</t>
  </si>
  <si>
    <t>MW Installed</t>
  </si>
  <si>
    <t>Power Revenue (only for New Projects)</t>
  </si>
  <si>
    <t>Average Salary</t>
  </si>
  <si>
    <t>Salaries (in Crs.)</t>
  </si>
  <si>
    <t>Sales Projections</t>
  </si>
  <si>
    <t>Cost of Rapairs per MW</t>
  </si>
  <si>
    <t>Power rate Rate per Unit</t>
  </si>
  <si>
    <t>Assumptions</t>
  </si>
  <si>
    <t>Revenue (in Crs.)</t>
  </si>
  <si>
    <t>Repairs (in Crs.)</t>
  </si>
  <si>
    <t>Existing Projects</t>
  </si>
  <si>
    <t>Annual Cost</t>
  </si>
  <si>
    <t>Total Cost (in Crs.)</t>
  </si>
  <si>
    <t>Existing Employees</t>
  </si>
  <si>
    <t>Revenue from Business Operations</t>
  </si>
  <si>
    <t>Revenue from Operations</t>
  </si>
  <si>
    <t>Cummulative Racks Installed (6 KVA)</t>
  </si>
  <si>
    <t>Racks Installed on New DC (6 KVA)</t>
  </si>
  <si>
    <t>Total Racks Installed</t>
  </si>
  <si>
    <t>Cummulative (3 KVA)</t>
  </si>
  <si>
    <t>Racks Details</t>
  </si>
  <si>
    <t>Racks on Lease</t>
  </si>
  <si>
    <t>Racks Occupied (6 KVA)</t>
  </si>
  <si>
    <t>IT Load Sold (KVA) for New Projects only</t>
  </si>
  <si>
    <t>Revenue from Business</t>
  </si>
  <si>
    <t xml:space="preserve">% of Revenue </t>
  </si>
  <si>
    <t>(Oct 21-Mar 22)</t>
  </si>
  <si>
    <t>(Apr 21-Sep 22)</t>
  </si>
  <si>
    <t>(Apr 23-Mar 24)</t>
  </si>
  <si>
    <t>(Apr 22-Mar 23)</t>
  </si>
  <si>
    <t>(Apr 24-Mar 25)</t>
  </si>
  <si>
    <t>(Apr 25-Mar 26)</t>
  </si>
  <si>
    <t>(Apr 26-Mar 27)</t>
  </si>
  <si>
    <t>(Apr 27-Mar 28)</t>
  </si>
  <si>
    <t>(Apr 28-Mar 29)</t>
  </si>
  <si>
    <t>(Apr 29-Mar 30)</t>
  </si>
  <si>
    <t>(Apr 30-Mar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</si>
</sst>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 * #,##0.0_ ;_ * \-#,##0.0_ ;_ * &quot;-&quot;?_ ;_ @_ "/>
    <numFmt numFmtId="168" formatCode="0.0%"/>
    <numFmt numFmtId="169" formatCode="_(* #,##0.00000_);_(* \(#,##0.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0" fillId="0" borderId="0" xfId="0" applyFill="1"/>
    <xf numFmtId="164" fontId="0" fillId="0" borderId="0" xfId="1" applyFont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0" fillId="0" borderId="10" xfId="0" applyBorder="1"/>
    <xf numFmtId="0" fontId="2" fillId="2" borderId="2" xfId="0" applyFont="1" applyFill="1" applyBorder="1"/>
    <xf numFmtId="0" fontId="2" fillId="2" borderId="3" xfId="0" applyFont="1" applyFill="1" applyBorder="1"/>
    <xf numFmtId="164" fontId="0" fillId="0" borderId="0" xfId="1" applyFont="1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0" xfId="1" applyNumberFormat="1" applyFont="1" applyBorder="1"/>
    <xf numFmtId="165" fontId="0" fillId="0" borderId="8" xfId="1" applyNumberFormat="1" applyFont="1" applyBorder="1"/>
    <xf numFmtId="164" fontId="0" fillId="0" borderId="0" xfId="0" applyNumberFormat="1"/>
    <xf numFmtId="10" fontId="0" fillId="0" borderId="0" xfId="0" applyNumberFormat="1"/>
    <xf numFmtId="0" fontId="0" fillId="0" borderId="3" xfId="0" applyBorder="1"/>
    <xf numFmtId="9" fontId="0" fillId="0" borderId="0" xfId="2" applyFont="1"/>
    <xf numFmtId="9" fontId="0" fillId="0" borderId="0" xfId="0" applyNumberFormat="1"/>
    <xf numFmtId="0" fontId="0" fillId="2" borderId="0" xfId="0" applyFill="1"/>
    <xf numFmtId="0" fontId="2" fillId="2" borderId="0" xfId="0" applyFont="1" applyFill="1" applyBorder="1"/>
    <xf numFmtId="0" fontId="2" fillId="2" borderId="0" xfId="0" applyFont="1" applyFill="1"/>
    <xf numFmtId="164" fontId="0" fillId="0" borderId="0" xfId="1" applyNumberFormat="1" applyFont="1"/>
    <xf numFmtId="166" fontId="0" fillId="0" borderId="0" xfId="1" applyNumberFormat="1" applyFont="1"/>
    <xf numFmtId="164" fontId="0" fillId="0" borderId="0" xfId="0" applyNumberFormat="1" applyFont="1" applyFill="1" applyBorder="1"/>
    <xf numFmtId="0" fontId="0" fillId="0" borderId="0" xfId="0" applyAlignment="1">
      <alignment horizontal="right"/>
    </xf>
    <xf numFmtId="164" fontId="0" fillId="0" borderId="0" xfId="1" applyFont="1" applyFill="1" applyBorder="1"/>
    <xf numFmtId="164" fontId="0" fillId="0" borderId="3" xfId="1" applyFont="1" applyFill="1" applyBorder="1"/>
    <xf numFmtId="0" fontId="2" fillId="0" borderId="3" xfId="0" applyFont="1" applyFill="1" applyBorder="1"/>
    <xf numFmtId="164" fontId="0" fillId="0" borderId="3" xfId="0" applyNumberFormat="1" applyBorder="1"/>
    <xf numFmtId="164" fontId="0" fillId="0" borderId="3" xfId="1" applyFont="1" applyBorder="1"/>
    <xf numFmtId="0" fontId="2" fillId="0" borderId="3" xfId="0" applyFont="1" applyBorder="1"/>
    <xf numFmtId="165" fontId="2" fillId="0" borderId="3" xfId="1" applyNumberFormat="1" applyFont="1" applyBorder="1"/>
    <xf numFmtId="43" fontId="0" fillId="0" borderId="0" xfId="0" applyNumberFormat="1" applyFill="1" applyBorder="1"/>
    <xf numFmtId="165" fontId="0" fillId="0" borderId="0" xfId="1" applyNumberFormat="1" applyFont="1" applyFill="1" applyBorder="1"/>
    <xf numFmtId="166" fontId="2" fillId="2" borderId="0" xfId="1" applyNumberFormat="1" applyFont="1" applyFill="1"/>
    <xf numFmtId="10" fontId="0" fillId="2" borderId="0" xfId="0" applyNumberFormat="1" applyFill="1"/>
    <xf numFmtId="164" fontId="2" fillId="0" borderId="0" xfId="1" applyFont="1"/>
    <xf numFmtId="164" fontId="2" fillId="0" borderId="3" xfId="1" applyFont="1" applyBorder="1"/>
    <xf numFmtId="0" fontId="2" fillId="2" borderId="0" xfId="0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0" fontId="0" fillId="0" borderId="5" xfId="0" applyBorder="1"/>
    <xf numFmtId="164" fontId="0" fillId="0" borderId="0" xfId="0" applyNumberFormat="1" applyBorder="1"/>
    <xf numFmtId="17" fontId="2" fillId="2" borderId="0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3" fontId="0" fillId="0" borderId="3" xfId="1" applyNumberFormat="1" applyFont="1" applyBorder="1" applyAlignment="1">
      <alignment horizontal="center"/>
    </xf>
    <xf numFmtId="164" fontId="1" fillId="2" borderId="0" xfId="1" applyFont="1" applyFill="1" applyBorder="1"/>
    <xf numFmtId="164" fontId="0" fillId="2" borderId="0" xfId="1" applyFont="1" applyFill="1" applyBorder="1"/>
    <xf numFmtId="164" fontId="0" fillId="2" borderId="0" xfId="1" applyFont="1" applyFill="1"/>
    <xf numFmtId="165" fontId="0" fillId="2" borderId="0" xfId="1" applyNumberFormat="1" applyFont="1" applyFill="1" applyAlignment="1">
      <alignment horizontal="center"/>
    </xf>
    <xf numFmtId="9" fontId="0" fillId="2" borderId="0" xfId="0" applyNumberFormat="1" applyFill="1"/>
    <xf numFmtId="165" fontId="0" fillId="2" borderId="0" xfId="1" applyNumberFormat="1" applyFont="1" applyFill="1"/>
    <xf numFmtId="164" fontId="2" fillId="2" borderId="0" xfId="1" applyFont="1" applyFill="1" applyBorder="1"/>
    <xf numFmtId="164" fontId="2" fillId="2" borderId="0" xfId="1" applyFont="1" applyFill="1"/>
    <xf numFmtId="164" fontId="2" fillId="0" borderId="3" xfId="1" applyFont="1" applyFill="1" applyBorder="1"/>
    <xf numFmtId="0" fontId="0" fillId="0" borderId="3" xfId="0" applyFill="1" applyBorder="1"/>
    <xf numFmtId="165" fontId="0" fillId="0" borderId="3" xfId="1" applyNumberFormat="1" applyFont="1" applyFill="1" applyBorder="1"/>
    <xf numFmtId="164" fontId="1" fillId="0" borderId="0" xfId="1" applyFont="1"/>
    <xf numFmtId="10" fontId="0" fillId="0" borderId="0" xfId="2" applyNumberFormat="1" applyFont="1"/>
    <xf numFmtId="164" fontId="2" fillId="0" borderId="0" xfId="1" applyFont="1" applyFill="1"/>
    <xf numFmtId="0" fontId="2" fillId="0" borderId="0" xfId="0" applyFont="1" applyFill="1"/>
    <xf numFmtId="10" fontId="0" fillId="0" borderId="0" xfId="0" applyNumberFormat="1" applyFont="1"/>
    <xf numFmtId="164" fontId="5" fillId="0" borderId="0" xfId="1" applyFont="1"/>
    <xf numFmtId="43" fontId="0" fillId="0" borderId="3" xfId="0" applyNumberFormat="1" applyBorder="1"/>
    <xf numFmtId="166" fontId="0" fillId="0" borderId="3" xfId="1" applyNumberFormat="1" applyFont="1" applyBorder="1"/>
    <xf numFmtId="17" fontId="2" fillId="2" borderId="0" xfId="0" applyNumberFormat="1" applyFont="1" applyFill="1" applyBorder="1"/>
    <xf numFmtId="164" fontId="0" fillId="0" borderId="0" xfId="1" applyFont="1" applyFill="1"/>
    <xf numFmtId="0" fontId="2" fillId="2" borderId="0" xfId="0" applyFont="1" applyFill="1" applyBorder="1" applyAlignment="1">
      <alignment wrapText="1"/>
    </xf>
    <xf numFmtId="43" fontId="2" fillId="0" borderId="0" xfId="0" applyNumberFormat="1" applyFont="1" applyFill="1" applyBorder="1"/>
    <xf numFmtId="164" fontId="2" fillId="0" borderId="3" xfId="0" applyNumberFormat="1" applyFont="1" applyFill="1" applyBorder="1"/>
    <xf numFmtId="17" fontId="0" fillId="0" borderId="0" xfId="0" applyNumberFormat="1"/>
    <xf numFmtId="15" fontId="0" fillId="2" borderId="0" xfId="1" applyNumberFormat="1" applyFont="1" applyFill="1" applyAlignment="1">
      <alignment horizontal="center"/>
    </xf>
    <xf numFmtId="10" fontId="0" fillId="0" borderId="0" xfId="2" applyNumberFormat="1" applyFont="1" applyFill="1" applyBorder="1"/>
    <xf numFmtId="15" fontId="0" fillId="0" borderId="0" xfId="0" applyNumberFormat="1" applyFill="1" applyBorder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Font="1" applyFill="1" applyBorder="1"/>
    <xf numFmtId="15" fontId="0" fillId="0" borderId="0" xfId="0" applyNumberFormat="1"/>
    <xf numFmtId="166" fontId="0" fillId="0" borderId="0" xfId="1" applyNumberFormat="1" applyFont="1" applyBorder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9" fontId="0" fillId="0" borderId="0" xfId="0" applyNumberFormat="1" applyFont="1"/>
    <xf numFmtId="9" fontId="0" fillId="0" borderId="0" xfId="2" applyFont="1" applyFill="1"/>
    <xf numFmtId="164" fontId="3" fillId="0" borderId="0" xfId="1" applyFont="1" applyFill="1" applyAlignment="1"/>
    <xf numFmtId="164" fontId="3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17" fontId="2" fillId="2" borderId="7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4" xfId="0" applyBorder="1"/>
    <xf numFmtId="165" fontId="0" fillId="0" borderId="14" xfId="1" applyNumberFormat="1" applyFont="1" applyBorder="1"/>
    <xf numFmtId="0" fontId="2" fillId="2" borderId="10" xfId="0" applyFont="1" applyFill="1" applyBorder="1"/>
    <xf numFmtId="17" fontId="2" fillId="2" borderId="10" xfId="0" applyNumberFormat="1" applyFont="1" applyFill="1" applyBorder="1"/>
    <xf numFmtId="165" fontId="0" fillId="0" borderId="13" xfId="1" applyNumberFormat="1" applyFont="1" applyBorder="1"/>
    <xf numFmtId="165" fontId="0" fillId="0" borderId="15" xfId="1" applyNumberFormat="1" applyFont="1" applyBorder="1"/>
    <xf numFmtId="0" fontId="0" fillId="0" borderId="15" xfId="0" applyBorder="1"/>
    <xf numFmtId="15" fontId="0" fillId="0" borderId="10" xfId="1" applyNumberFormat="1" applyFont="1" applyBorder="1"/>
    <xf numFmtId="0" fontId="2" fillId="0" borderId="14" xfId="0" applyFont="1" applyBorder="1"/>
    <xf numFmtId="0" fontId="2" fillId="0" borderId="10" xfId="0" applyFont="1" applyBorder="1"/>
    <xf numFmtId="165" fontId="2" fillId="0" borderId="10" xfId="1" applyNumberFormat="1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6" xfId="1" applyNumberFormat="1" applyFont="1" applyBorder="1"/>
    <xf numFmtId="166" fontId="2" fillId="2" borderId="0" xfId="1" applyNumberFormat="1" applyFont="1" applyFill="1" applyBorder="1"/>
    <xf numFmtId="17" fontId="2" fillId="2" borderId="1" xfId="0" applyNumberFormat="1" applyFont="1" applyFill="1" applyBorder="1"/>
    <xf numFmtId="166" fontId="2" fillId="2" borderId="1" xfId="1" applyNumberFormat="1" applyFont="1" applyFill="1" applyBorder="1"/>
    <xf numFmtId="17" fontId="2" fillId="2" borderId="8" xfId="0" applyNumberFormat="1" applyFont="1" applyFill="1" applyBorder="1"/>
    <xf numFmtId="166" fontId="2" fillId="2" borderId="8" xfId="1" applyNumberFormat="1" applyFont="1" applyFill="1" applyBorder="1"/>
    <xf numFmtId="17" fontId="2" fillId="2" borderId="5" xfId="0" applyNumberFormat="1" applyFont="1" applyFill="1" applyBorder="1"/>
    <xf numFmtId="166" fontId="2" fillId="2" borderId="6" xfId="1" applyNumberFormat="1" applyFont="1" applyFill="1" applyBorder="1"/>
    <xf numFmtId="17" fontId="2" fillId="2" borderId="11" xfId="0" applyNumberFormat="1" applyFont="1" applyFill="1" applyBorder="1"/>
    <xf numFmtId="166" fontId="2" fillId="2" borderId="12" xfId="1" applyNumberFormat="1" applyFont="1" applyFill="1" applyBorder="1"/>
    <xf numFmtId="166" fontId="2" fillId="2" borderId="9" xfId="1" applyNumberFormat="1" applyFont="1" applyFill="1" applyBorder="1"/>
    <xf numFmtId="165" fontId="4" fillId="0" borderId="14" xfId="1" applyNumberFormat="1" applyFont="1" applyBorder="1"/>
    <xf numFmtId="165" fontId="4" fillId="0" borderId="13" xfId="1" applyNumberFormat="1" applyFont="1" applyBorder="1"/>
    <xf numFmtId="17" fontId="8" fillId="2" borderId="0" xfId="0" applyNumberFormat="1" applyFont="1" applyFill="1" applyBorder="1"/>
    <xf numFmtId="43" fontId="8" fillId="2" borderId="0" xfId="0" applyNumberFormat="1" applyFont="1" applyFill="1"/>
    <xf numFmtId="17" fontId="6" fillId="2" borderId="0" xfId="0" applyNumberFormat="1" applyFont="1" applyFill="1" applyBorder="1" applyAlignment="1">
      <alignment horizontal="center"/>
    </xf>
    <xf numFmtId="165" fontId="0" fillId="0" borderId="0" xfId="1" applyNumberFormat="1" applyFont="1" applyFill="1"/>
    <xf numFmtId="43" fontId="0" fillId="2" borderId="0" xfId="0" applyNumberFormat="1" applyFill="1"/>
    <xf numFmtId="0" fontId="0" fillId="2" borderId="0" xfId="0" applyFill="1" applyBorder="1"/>
    <xf numFmtId="166" fontId="0" fillId="2" borderId="0" xfId="1" applyNumberFormat="1" applyFont="1" applyFill="1" applyBorder="1"/>
    <xf numFmtId="10" fontId="0" fillId="0" borderId="0" xfId="0" applyNumberFormat="1" applyBorder="1"/>
    <xf numFmtId="0" fontId="0" fillId="0" borderId="0" xfId="0" applyFont="1" applyFill="1" applyBorder="1"/>
    <xf numFmtId="167" fontId="0" fillId="0" borderId="0" xfId="0" applyNumberFormat="1"/>
    <xf numFmtId="166" fontId="9" fillId="0" borderId="0" xfId="1" applyNumberFormat="1" applyFont="1" applyBorder="1"/>
    <xf numFmtId="17" fontId="2" fillId="2" borderId="6" xfId="0" applyNumberFormat="1" applyFont="1" applyFill="1" applyBorder="1"/>
    <xf numFmtId="166" fontId="0" fillId="0" borderId="3" xfId="0" applyNumberFormat="1" applyBorder="1"/>
    <xf numFmtId="167" fontId="0" fillId="0" borderId="3" xfId="0" applyNumberFormat="1" applyBorder="1"/>
    <xf numFmtId="17" fontId="2" fillId="0" borderId="0" xfId="0" applyNumberFormat="1" applyFont="1" applyFill="1" applyBorder="1"/>
    <xf numFmtId="166" fontId="0" fillId="0" borderId="0" xfId="1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Fill="1" applyBorder="1"/>
    <xf numFmtId="9" fontId="0" fillId="0" borderId="0" xfId="0" applyNumberFormat="1" applyFill="1"/>
    <xf numFmtId="164" fontId="4" fillId="0" borderId="0" xfId="1" applyFont="1"/>
    <xf numFmtId="0" fontId="4" fillId="0" borderId="0" xfId="0" applyFont="1"/>
    <xf numFmtId="15" fontId="2" fillId="2" borderId="0" xfId="1" applyNumberFormat="1" applyFont="1" applyFill="1"/>
    <xf numFmtId="15" fontId="2" fillId="0" borderId="0" xfId="1" applyNumberFormat="1" applyFont="1" applyFill="1"/>
    <xf numFmtId="0" fontId="0" fillId="0" borderId="0" xfId="0" applyFont="1" applyFill="1"/>
    <xf numFmtId="164" fontId="2" fillId="0" borderId="0" xfId="1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3" fillId="0" borderId="0" xfId="0" applyFont="1" applyFill="1" applyAlignment="1"/>
    <xf numFmtId="10" fontId="0" fillId="0" borderId="0" xfId="2" applyNumberFormat="1" applyFont="1" applyFill="1"/>
    <xf numFmtId="165" fontId="1" fillId="0" borderId="0" xfId="1" applyNumberFormat="1" applyFont="1" applyFill="1"/>
    <xf numFmtId="9" fontId="1" fillId="0" borderId="0" xfId="1" applyNumberFormat="1" applyFont="1" applyFill="1"/>
    <xf numFmtId="9" fontId="1" fillId="0" borderId="0" xfId="2" applyFont="1" applyFill="1"/>
    <xf numFmtId="164" fontId="5" fillId="0" borderId="0" xfId="1" applyFont="1" applyFill="1" applyBorder="1"/>
    <xf numFmtId="164" fontId="3" fillId="0" borderId="0" xfId="1" applyFont="1" applyFill="1" applyBorder="1" applyAlignment="1">
      <alignment wrapText="1"/>
    </xf>
    <xf numFmtId="164" fontId="3" fillId="0" borderId="0" xfId="1" applyFont="1"/>
    <xf numFmtId="0" fontId="0" fillId="0" borderId="0" xfId="0" applyNumberFormat="1"/>
    <xf numFmtId="164" fontId="1" fillId="0" borderId="0" xfId="1" applyFont="1" applyFill="1"/>
    <xf numFmtId="0" fontId="2" fillId="2" borderId="16" xfId="0" applyFont="1" applyFill="1" applyBorder="1"/>
    <xf numFmtId="168" fontId="0" fillId="0" borderId="0" xfId="2" applyNumberFormat="1" applyFont="1"/>
    <xf numFmtId="9" fontId="0" fillId="2" borderId="0" xfId="2" applyFont="1" applyFill="1"/>
    <xf numFmtId="169" fontId="0" fillId="0" borderId="0" xfId="1" applyNumberFormat="1" applyFont="1" applyFill="1"/>
    <xf numFmtId="164" fontId="1" fillId="0" borderId="0" xfId="1" applyFon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5" fontId="0" fillId="3" borderId="9" xfId="1" applyNumberFormat="1" applyFont="1" applyFill="1" applyBorder="1" applyAlignment="1">
      <alignment horizontal="center"/>
    </xf>
    <xf numFmtId="164" fontId="0" fillId="0" borderId="0" xfId="1" applyFont="1" applyFill="1" applyBorder="1" applyAlignment="1"/>
    <xf numFmtId="9" fontId="2" fillId="0" borderId="0" xfId="0" applyNumberFormat="1" applyFont="1"/>
    <xf numFmtId="165" fontId="0" fillId="0" borderId="0" xfId="0" applyNumberFormat="1" applyBorder="1"/>
    <xf numFmtId="164" fontId="2" fillId="0" borderId="0" xfId="1" applyFont="1" applyFill="1" applyBorder="1" applyAlignment="1"/>
    <xf numFmtId="0" fontId="1" fillId="0" borderId="0" xfId="0" applyFont="1"/>
    <xf numFmtId="164" fontId="1" fillId="0" borderId="0" xfId="1" applyFont="1" applyFill="1" applyBorder="1" applyAlignment="1"/>
    <xf numFmtId="164" fontId="5" fillId="0" borderId="0" xfId="1" applyFont="1" applyFill="1" applyBorder="1" applyAlignment="1"/>
    <xf numFmtId="164" fontId="2" fillId="0" borderId="1" xfId="1" applyFont="1" applyFill="1" applyBorder="1" applyAlignment="1"/>
    <xf numFmtId="0" fontId="1" fillId="0" borderId="1" xfId="0" applyFont="1" applyBorder="1"/>
    <xf numFmtId="164" fontId="0" fillId="0" borderId="1" xfId="1" applyFont="1" applyBorder="1" applyAlignment="1">
      <alignment horizontal="center"/>
    </xf>
    <xf numFmtId="164" fontId="2" fillId="0" borderId="3" xfId="1" applyFont="1" applyFill="1" applyBorder="1" applyAlignment="1"/>
    <xf numFmtId="164" fontId="2" fillId="0" borderId="3" xfId="1" applyFont="1" applyBorder="1" applyAlignment="1">
      <alignment horizontal="center"/>
    </xf>
    <xf numFmtId="164" fontId="3" fillId="2" borderId="0" xfId="1" applyFont="1" applyFill="1" applyAlignment="1">
      <alignment horizontal="center"/>
    </xf>
    <xf numFmtId="165" fontId="2" fillId="0" borderId="0" xfId="1" applyNumberFormat="1" applyFont="1" applyFill="1" applyBorder="1" applyAlignment="1"/>
    <xf numFmtId="43" fontId="0" fillId="0" borderId="0" xfId="0" applyNumberFormat="1" applyAlignment="1">
      <alignment horizontal="center"/>
    </xf>
    <xf numFmtId="166" fontId="1" fillId="0" borderId="0" xfId="1" applyNumberFormat="1" applyFont="1"/>
    <xf numFmtId="166" fontId="2" fillId="0" borderId="3" xfId="1" applyNumberFormat="1" applyFont="1" applyBorder="1"/>
    <xf numFmtId="166" fontId="2" fillId="2" borderId="3" xfId="1" applyNumberFormat="1" applyFont="1" applyFill="1" applyBorder="1"/>
    <xf numFmtId="166" fontId="0" fillId="0" borderId="8" xfId="1" applyNumberFormat="1" applyFont="1" applyBorder="1"/>
    <xf numFmtId="166" fontId="0" fillId="0" borderId="1" xfId="1" applyNumberFormat="1" applyFont="1" applyBorder="1"/>
    <xf numFmtId="166" fontId="2" fillId="2" borderId="16" xfId="1" applyNumberFormat="1" applyFont="1" applyFill="1" applyBorder="1"/>
    <xf numFmtId="166" fontId="0" fillId="0" borderId="6" xfId="1" applyNumberFormat="1" applyFont="1" applyBorder="1"/>
    <xf numFmtId="166" fontId="0" fillId="0" borderId="12" xfId="1" applyNumberFormat="1" applyFont="1" applyBorder="1"/>
    <xf numFmtId="166" fontId="0" fillId="0" borderId="9" xfId="1" applyNumberFormat="1" applyFont="1" applyBorder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Fill="1" applyBorder="1"/>
    <xf numFmtId="166" fontId="0" fillId="0" borderId="3" xfId="1" applyNumberFormat="1" applyFont="1" applyFill="1" applyBorder="1"/>
    <xf numFmtId="17" fontId="2" fillId="2" borderId="3" xfId="1" applyNumberFormat="1" applyFont="1" applyFill="1" applyBorder="1"/>
    <xf numFmtId="17" fontId="2" fillId="2" borderId="4" xfId="1" applyNumberFormat="1" applyFont="1" applyFill="1" applyBorder="1"/>
    <xf numFmtId="166" fontId="4" fillId="0" borderId="0" xfId="1" applyNumberFormat="1" applyFont="1"/>
    <xf numFmtId="166" fontId="4" fillId="0" borderId="3" xfId="1" applyNumberFormat="1" applyFont="1" applyBorder="1"/>
    <xf numFmtId="43" fontId="4" fillId="0" borderId="0" xfId="0" applyNumberFormat="1" applyFont="1"/>
    <xf numFmtId="15" fontId="2" fillId="2" borderId="0" xfId="1" applyNumberFormat="1" applyFont="1" applyFill="1" applyBorder="1"/>
    <xf numFmtId="17" fontId="0" fillId="0" borderId="0" xfId="0" applyNumberFormat="1" applyFont="1" applyFill="1" applyBorder="1"/>
    <xf numFmtId="165" fontId="1" fillId="0" borderId="0" xfId="1" applyNumberFormat="1" applyFont="1" applyFill="1" applyBorder="1"/>
    <xf numFmtId="165" fontId="0" fillId="0" borderId="0" xfId="0" applyNumberFormat="1" applyFont="1" applyFill="1" applyBorder="1"/>
    <xf numFmtId="165" fontId="2" fillId="0" borderId="3" xfId="0" applyNumberFormat="1" applyFont="1" applyFill="1" applyBorder="1"/>
    <xf numFmtId="165" fontId="2" fillId="0" borderId="3" xfId="1" applyNumberFormat="1" applyFont="1" applyFill="1" applyBorder="1"/>
    <xf numFmtId="165" fontId="1" fillId="2" borderId="0" xfId="1" applyNumberFormat="1" applyFont="1" applyFill="1" applyBorder="1"/>
    <xf numFmtId="165" fontId="0" fillId="2" borderId="0" xfId="0" applyNumberFormat="1" applyFont="1" applyFill="1" applyBorder="1"/>
    <xf numFmtId="9" fontId="0" fillId="0" borderId="0" xfId="2" applyFont="1" applyAlignment="1">
      <alignment horizontal="right"/>
    </xf>
    <xf numFmtId="43" fontId="2" fillId="0" borderId="3" xfId="0" applyNumberFormat="1" applyFont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4" fontId="3" fillId="0" borderId="0" xfId="1" applyFont="1" applyFill="1" applyAlignment="1">
      <alignment horizontal="center"/>
    </xf>
    <xf numFmtId="164" fontId="3" fillId="2" borderId="0" xfId="1" applyFont="1" applyFill="1" applyAlignment="1">
      <alignment horizontal="center"/>
    </xf>
  </cellXfs>
  <cellStyles count="6">
    <cellStyle name="Comma" xfId="1" builtinId="3"/>
    <cellStyle name="Comma 20 2" xfId="3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Capacity (in 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Sheet2!$I$3</c:f>
              <c:strCache>
                <c:ptCount val="1"/>
                <c:pt idx="0">
                  <c:v>Capacity IT Load (in 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Sheet2!$J$2:$S$2</c:f>
              <c:strCache>
                <c:ptCount val="10"/>
                <c:pt idx="0">
                  <c:v>FY 22</c:v>
                </c:pt>
                <c:pt idx="1">
                  <c:v>FY 23</c:v>
                </c:pt>
                <c:pt idx="2">
                  <c:v>FY 24</c:v>
                </c:pt>
                <c:pt idx="3">
                  <c:v>FY 25</c:v>
                </c:pt>
                <c:pt idx="4">
                  <c:v>FY 26</c:v>
                </c:pt>
                <c:pt idx="5">
                  <c:v>FY 27</c:v>
                </c:pt>
                <c:pt idx="6">
                  <c:v>FY 28</c:v>
                </c:pt>
                <c:pt idx="7">
                  <c:v>FY 29</c:v>
                </c:pt>
                <c:pt idx="8">
                  <c:v>FY 30</c:v>
                </c:pt>
                <c:pt idx="9">
                  <c:v>FY 31</c:v>
                </c:pt>
              </c:strCache>
            </c:strRef>
          </c:cat>
          <c:val>
            <c:numRef>
              <c:f>Sheet2!$J$3:$S$3</c:f>
              <c:numCache>
                <c:formatCode>_(* #,##0.0_);_(* \(#,##0.0\);_(* "-"??_);_(@_)</c:formatCode>
                <c:ptCount val="10"/>
                <c:pt idx="0">
                  <c:v>1.8</c:v>
                </c:pt>
                <c:pt idx="1">
                  <c:v>8.6999999999999993</c:v>
                </c:pt>
                <c:pt idx="2">
                  <c:v>30</c:v>
                </c:pt>
                <c:pt idx="3">
                  <c:v>48.594000000000001</c:v>
                </c:pt>
                <c:pt idx="4">
                  <c:v>65.093999999999994</c:v>
                </c:pt>
                <c:pt idx="5">
                  <c:v>79.494</c:v>
                </c:pt>
                <c:pt idx="6">
                  <c:v>93.894000000000005</c:v>
                </c:pt>
                <c:pt idx="7">
                  <c:v>93.894000000000005</c:v>
                </c:pt>
                <c:pt idx="8">
                  <c:v>93.894000000000005</c:v>
                </c:pt>
                <c:pt idx="9">
                  <c:v>93.894000000000005</c:v>
                </c:pt>
              </c:numCache>
            </c:numRef>
          </c:val>
        </c:ser>
        <c:ser>
          <c:idx val="1"/>
          <c:order val="1"/>
          <c:tx>
            <c:strRef>
              <c:f>Sheet2!$I$4</c:f>
              <c:strCache>
                <c:ptCount val="1"/>
                <c:pt idx="0">
                  <c:v>Sold IT Capacity (in 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42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6614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88888888888888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666666666666666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7777777777777575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Sheet2!$J$2:$S$2</c:f>
              <c:strCache>
                <c:ptCount val="10"/>
                <c:pt idx="0">
                  <c:v>FY 22</c:v>
                </c:pt>
                <c:pt idx="1">
                  <c:v>FY 23</c:v>
                </c:pt>
                <c:pt idx="2">
                  <c:v>FY 24</c:v>
                </c:pt>
                <c:pt idx="3">
                  <c:v>FY 25</c:v>
                </c:pt>
                <c:pt idx="4">
                  <c:v>FY 26</c:v>
                </c:pt>
                <c:pt idx="5">
                  <c:v>FY 27</c:v>
                </c:pt>
                <c:pt idx="6">
                  <c:v>FY 28</c:v>
                </c:pt>
                <c:pt idx="7">
                  <c:v>FY 29</c:v>
                </c:pt>
                <c:pt idx="8">
                  <c:v>FY 30</c:v>
                </c:pt>
                <c:pt idx="9">
                  <c:v>FY 31</c:v>
                </c:pt>
              </c:strCache>
            </c:strRef>
          </c:cat>
          <c:val>
            <c:numRef>
              <c:f>Sheet2!$J$4:$S$4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0457824"/>
        <c:axId val="1150458368"/>
      </c:barChart>
      <c:catAx>
        <c:axId val="11504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58368"/>
        <c:crosses val="autoZero"/>
        <c:auto val="1"/>
        <c:lblAlgn val="ctr"/>
        <c:lblOffset val="100"/>
        <c:noMultiLvlLbl val="0"/>
      </c:catAx>
      <c:valAx>
        <c:axId val="1150458368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5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Sheet2!$I$5</c:f>
              <c:strCache>
                <c:ptCount val="1"/>
                <c:pt idx="0">
                  <c:v>Hosting Revenue (in Crs.)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Sheet2!$J$2:$S$2</c:f>
              <c:strCache>
                <c:ptCount val="10"/>
                <c:pt idx="0">
                  <c:v>FY 22</c:v>
                </c:pt>
                <c:pt idx="1">
                  <c:v>FY 23</c:v>
                </c:pt>
                <c:pt idx="2">
                  <c:v>FY 24</c:v>
                </c:pt>
                <c:pt idx="3">
                  <c:v>FY 25</c:v>
                </c:pt>
                <c:pt idx="4">
                  <c:v>FY 26</c:v>
                </c:pt>
                <c:pt idx="5">
                  <c:v>FY 27</c:v>
                </c:pt>
                <c:pt idx="6">
                  <c:v>FY 28</c:v>
                </c:pt>
                <c:pt idx="7">
                  <c:v>FY 29</c:v>
                </c:pt>
                <c:pt idx="8">
                  <c:v>FY 30</c:v>
                </c:pt>
                <c:pt idx="9">
                  <c:v>FY 31</c:v>
                </c:pt>
              </c:strCache>
            </c:strRef>
          </c:cat>
          <c:val>
            <c:numRef>
              <c:f>Sheet2!$J$5:$S$5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0458912"/>
        <c:axId val="1150450752"/>
      </c:barChart>
      <c:catAx>
        <c:axId val="11504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50752"/>
        <c:crosses val="autoZero"/>
        <c:auto val="1"/>
        <c:lblAlgn val="ctr"/>
        <c:lblOffset val="100"/>
        <c:noMultiLvlLbl val="0"/>
      </c:catAx>
      <c:valAx>
        <c:axId val="115045075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EBIDTA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Sheet2!$I$6</c:f>
              <c:strCache>
                <c:ptCount val="1"/>
                <c:pt idx="0">
                  <c:v>Total Income (in Crs.)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91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11111111111136E-2"/>
                  <c:y val="-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Sheet2!$J$2:$S$2</c:f>
              <c:strCache>
                <c:ptCount val="10"/>
                <c:pt idx="0">
                  <c:v>FY 22</c:v>
                </c:pt>
                <c:pt idx="1">
                  <c:v>FY 23</c:v>
                </c:pt>
                <c:pt idx="2">
                  <c:v>FY 24</c:v>
                </c:pt>
                <c:pt idx="3">
                  <c:v>FY 25</c:v>
                </c:pt>
                <c:pt idx="4">
                  <c:v>FY 26</c:v>
                </c:pt>
                <c:pt idx="5">
                  <c:v>FY 27</c:v>
                </c:pt>
                <c:pt idx="6">
                  <c:v>FY 28</c:v>
                </c:pt>
                <c:pt idx="7">
                  <c:v>FY 29</c:v>
                </c:pt>
                <c:pt idx="8">
                  <c:v>FY 30</c:v>
                </c:pt>
                <c:pt idx="9">
                  <c:v>FY 31</c:v>
                </c:pt>
              </c:strCache>
            </c:strRef>
          </c:cat>
          <c:val>
            <c:numRef>
              <c:f>Sheet2!$J$6:$S$6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1"/>
          <c:tx>
            <c:strRef>
              <c:f>Sheet2!$I$7</c:f>
              <c:strCache>
                <c:ptCount val="1"/>
                <c:pt idx="0">
                  <c:v>Expenses (in Crs.)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Sheet2!$J$2:$S$2</c:f>
              <c:strCache>
                <c:ptCount val="10"/>
                <c:pt idx="0">
                  <c:v>FY 22</c:v>
                </c:pt>
                <c:pt idx="1">
                  <c:v>FY 23</c:v>
                </c:pt>
                <c:pt idx="2">
                  <c:v>FY 24</c:v>
                </c:pt>
                <c:pt idx="3">
                  <c:v>FY 25</c:v>
                </c:pt>
                <c:pt idx="4">
                  <c:v>FY 26</c:v>
                </c:pt>
                <c:pt idx="5">
                  <c:v>FY 27</c:v>
                </c:pt>
                <c:pt idx="6">
                  <c:v>FY 28</c:v>
                </c:pt>
                <c:pt idx="7">
                  <c:v>FY 29</c:v>
                </c:pt>
                <c:pt idx="8">
                  <c:v>FY 30</c:v>
                </c:pt>
                <c:pt idx="9">
                  <c:v>FY 31</c:v>
                </c:pt>
              </c:strCache>
            </c:strRef>
          </c:cat>
          <c:val>
            <c:numRef>
              <c:f>Sheet2!$J$7:$S$7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50457280"/>
        <c:axId val="1150451296"/>
      </c:barChart>
      <c:lineChart>
        <c:grouping val="standard"/>
        <c:varyColors val="0"/>
        <c:ser>
          <c:idx val="5"/>
          <c:order val="2"/>
          <c:tx>
            <c:strRef>
              <c:f>Sheet2!$I$8</c:f>
              <c:strCache>
                <c:ptCount val="1"/>
                <c:pt idx="0">
                  <c:v>EBIDTA (in Crs.)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77777777777779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Sheet2!$J$2:$S$2</c:f>
              <c:strCache>
                <c:ptCount val="10"/>
                <c:pt idx="0">
                  <c:v>FY 22</c:v>
                </c:pt>
                <c:pt idx="1">
                  <c:v>FY 23</c:v>
                </c:pt>
                <c:pt idx="2">
                  <c:v>FY 24</c:v>
                </c:pt>
                <c:pt idx="3">
                  <c:v>FY 25</c:v>
                </c:pt>
                <c:pt idx="4">
                  <c:v>FY 26</c:v>
                </c:pt>
                <c:pt idx="5">
                  <c:v>FY 27</c:v>
                </c:pt>
                <c:pt idx="6">
                  <c:v>FY 28</c:v>
                </c:pt>
                <c:pt idx="7">
                  <c:v>FY 29</c:v>
                </c:pt>
                <c:pt idx="8">
                  <c:v>FY 30</c:v>
                </c:pt>
                <c:pt idx="9">
                  <c:v>FY 31</c:v>
                </c:pt>
              </c:strCache>
            </c:strRef>
          </c:cat>
          <c:val>
            <c:numRef>
              <c:f>Sheet2!$J$8:$S$8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57280"/>
        <c:axId val="1150451296"/>
      </c:lineChart>
      <c:catAx>
        <c:axId val="11504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51296"/>
        <c:crosses val="autoZero"/>
        <c:auto val="1"/>
        <c:lblAlgn val="ctr"/>
        <c:lblOffset val="100"/>
        <c:noMultiLvlLbl val="0"/>
      </c:catAx>
      <c:valAx>
        <c:axId val="115045129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5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52387</xdr:rowOff>
    </xdr:from>
    <xdr:to>
      <xdr:col>5</xdr:col>
      <xdr:colOff>590550</xdr:colOff>
      <xdr:row>15</xdr:row>
      <xdr:rowOff>128587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17</xdr:row>
      <xdr:rowOff>4762</xdr:rowOff>
    </xdr:from>
    <xdr:to>
      <xdr:col>6</xdr:col>
      <xdr:colOff>9525</xdr:colOff>
      <xdr:row>31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33</xdr:row>
      <xdr:rowOff>23812</xdr:rowOff>
    </xdr:from>
    <xdr:to>
      <xdr:col>6</xdr:col>
      <xdr:colOff>47625</xdr:colOff>
      <xdr:row>47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BG.ADS.DB.COM\IND-USERS\C:\prashant%20backup\Prashant%20Muta\Corporates\LOOT\Quoteslip%20-%20Shop%20Keeper%20Policy%20-%20National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-server\c\WINDOWS\Desktop\jagbk\pankaj\IT%20RETURN\CI03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Accounts\Accounts%20of%20RPL%20A.Y.09-10\Accounts%20of%20RPL%2006-07\RPLMAR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Business%20Models\WW%20Expansion%20Plan%20Full%2005V4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 Keeper - Slip"/>
      <sheetName val="Renewal Data- Modified"/>
    </sheetNames>
    <sheetDataSet>
      <sheetData sheetId="0"/>
      <sheetData sheetId="1">
        <row r="3">
          <cell r="B3" t="str">
            <v>Investor - The Loot</v>
          </cell>
        </row>
        <row r="5">
          <cell r="B5" t="str">
            <v>Location Wise Sum Insured break up of Special Contingency Shop Keeper Insurance Policy</v>
          </cell>
        </row>
        <row r="7">
          <cell r="B7" t="str">
            <v>Sr No.</v>
          </cell>
          <cell r="C7" t="str">
            <v>Location</v>
          </cell>
          <cell r="D7" t="str">
            <v>Address of Risk</v>
          </cell>
          <cell r="E7" t="str">
            <v>Area Sp.ft.</v>
          </cell>
          <cell r="F7" t="str">
            <v>Fire</v>
          </cell>
          <cell r="H7" t="str">
            <v>Burglary</v>
          </cell>
          <cell r="I7" t="str">
            <v>Money / Cash</v>
          </cell>
          <cell r="L7" t="str">
            <v>Electronic Equipment</v>
          </cell>
          <cell r="M7" t="str">
            <v>Machinery Breakdown</v>
          </cell>
          <cell r="N7" t="str">
            <v>Neon Sign Board</v>
          </cell>
          <cell r="O7" t="str">
            <v>Plate Glass</v>
          </cell>
          <cell r="P7" t="str">
            <v>Fidelity</v>
          </cell>
          <cell r="Q7" t="str">
            <v>Public Liability</v>
          </cell>
          <cell r="R7" t="str">
            <v>Total Sum Insured</v>
          </cell>
        </row>
        <row r="8">
          <cell r="F8" t="str">
            <v>FFF,Interior,Equipments etc</v>
          </cell>
          <cell r="G8" t="str">
            <v>Stock</v>
          </cell>
          <cell r="I8" t="str">
            <v>Transit</v>
          </cell>
          <cell r="J8" t="str">
            <v xml:space="preserve">Safe </v>
          </cell>
          <cell r="K8" t="str">
            <v>Counter</v>
          </cell>
        </row>
        <row r="9">
          <cell r="B9">
            <v>1</v>
          </cell>
          <cell r="C9" t="str">
            <v>Marine Lines shop-8</v>
          </cell>
          <cell r="D9" t="str">
            <v>38 Maharishi Karve Road,Marine Lines,Mumbai - 400 020</v>
          </cell>
        </row>
        <row r="10">
          <cell r="B10">
            <v>2</v>
          </cell>
          <cell r="C10" t="str">
            <v>Kalyan(E) shop-85</v>
          </cell>
          <cell r="D10" t="str">
            <v>G-5 Metro Junction, Shil Road, Netvali,Kalyan(E)-421306</v>
          </cell>
        </row>
        <row r="11">
          <cell r="B11">
            <v>3</v>
          </cell>
          <cell r="C11" t="str">
            <v>Santacruz(E) shop-92</v>
          </cell>
          <cell r="D11" t="str">
            <v>Kleem Co op Hsg. Society Shop No. 10/11, Station Road, Santacruz (E),Mumbai- 400 055</v>
          </cell>
        </row>
        <row r="12">
          <cell r="B12">
            <v>4</v>
          </cell>
          <cell r="C12" t="str">
            <v>Parel baseri - shop-142</v>
          </cell>
          <cell r="D12" t="str">
            <v>Shop No. 1,2 &amp; 3, F/ South office ward Building, Dr. Ambedkar Road, Parel, Mumbai - 400 012</v>
          </cell>
        </row>
        <row r="13">
          <cell r="B13">
            <v>5</v>
          </cell>
          <cell r="C13" t="str">
            <v>Chembur RK Studio shop-125</v>
          </cell>
          <cell r="D13" t="str">
            <v>Shabri Shamurthi, shop no. 5 &amp; 6, S. T. Road, Opp. R. K. Studio, Chembur, Mumbai- 400071.</v>
          </cell>
        </row>
        <row r="14">
          <cell r="B14">
            <v>6</v>
          </cell>
          <cell r="C14" t="str">
            <v>Lokhanwala Shop-127</v>
          </cell>
          <cell r="D14" t="str">
            <v>Shop no.11, Greenfields buldg, Plot no. 333, Survey No. 41, Versova, Oshiwara Andheri, Lokhandwala complex, Off. J. P. Road, Andheri (w) Mumbai- 400053</v>
          </cell>
        </row>
        <row r="15">
          <cell r="B15">
            <v>7</v>
          </cell>
          <cell r="C15" t="str">
            <v>Mira road-196</v>
          </cell>
          <cell r="D15" t="str">
            <v>No. 15 &amp; 16, A/61, Sect Or No-1,Shanti nager,Mira Road,Dist Thane-401107</v>
          </cell>
        </row>
        <row r="16">
          <cell r="B16">
            <v>8</v>
          </cell>
          <cell r="C16" t="str">
            <v>Huma Mall Kanjurmarg-208</v>
          </cell>
          <cell r="D16" t="str">
            <v>Shop No:30,31 &amp; 32, Ground floor, Huma mall, Kanjurmarg.</v>
          </cell>
        </row>
        <row r="17">
          <cell r="B17">
            <v>9</v>
          </cell>
          <cell r="C17" t="str">
            <v>Rassaz Mall Mira Road -210</v>
          </cell>
          <cell r="D17" t="str">
            <v xml:space="preserve">Rassaz Shopping Mall Shop No. 10,11,12,ground floor,opp.Singapore plaza,Sheetal Nagar,Mira Road east thane </v>
          </cell>
        </row>
        <row r="18">
          <cell r="B18">
            <v>10</v>
          </cell>
          <cell r="C18" t="str">
            <v>Little wonder mall Khar Ghar 209</v>
          </cell>
          <cell r="D18" t="str">
            <v>LITTLE WONDER MALL SHOP NO. 106 1st FLOOR PLOT NO. 21 SECTOR -2 KHARGHAR NAVI MUMBAI</v>
          </cell>
        </row>
        <row r="19">
          <cell r="B19">
            <v>11</v>
          </cell>
          <cell r="C19" t="str">
            <v>Internety Mall Thane-229</v>
          </cell>
          <cell r="D19" t="str">
            <v>Eternity Mall Shop No G-5,Teen hath naka,Thane west 4000601</v>
          </cell>
        </row>
        <row r="20">
          <cell r="B20">
            <v>12</v>
          </cell>
          <cell r="C20" t="str">
            <v>Maxes Mall Bhyander-234</v>
          </cell>
          <cell r="D20" t="str">
            <v>The Loot (I) Pvt. Ltd  Maxus Mall, Shop No.18, Ground floor, Temba hospital road, Bhayandar (W), District Thane.</v>
          </cell>
        </row>
        <row r="21">
          <cell r="B21">
            <v>13</v>
          </cell>
          <cell r="C21" t="str">
            <v>Vapi-221</v>
          </cell>
          <cell r="D21" t="str">
            <v>The Loot (India) Pvt. Ltd. Shop no.106,107&amp;108.Varun shopping complex ,opp. Reliance super, GIDC ,VAPI-396 195.</v>
          </cell>
        </row>
        <row r="22">
          <cell r="B22">
            <v>14</v>
          </cell>
          <cell r="C22" t="str">
            <v>Kurla Kohinoor mall shop 249</v>
          </cell>
          <cell r="D22" t="str">
            <v>Kohinoor Group, Kohinoor City Mall, Kirol Road.LBS marg (Kurla) west,Mumbai-400070</v>
          </cell>
        </row>
        <row r="24">
          <cell r="B24" t="str">
            <v>Note:-</v>
          </cell>
        </row>
        <row r="25">
          <cell r="B25" t="str">
            <v>To avoid any insufficieny in sum insured during claim please always consider sum insured on the following basis</v>
          </cell>
        </row>
        <row r="26">
          <cell r="B26">
            <v>1</v>
          </cell>
          <cell r="C26" t="str">
            <v xml:space="preserve">Building &amp; Contents          </v>
          </cell>
        </row>
        <row r="27">
          <cell r="B27">
            <v>2</v>
          </cell>
          <cell r="C27" t="str">
            <v>Burglary (First Loss Basis)</v>
          </cell>
        </row>
        <row r="28">
          <cell r="B28">
            <v>3</v>
          </cell>
          <cell r="C28" t="str">
            <v>Stocks</v>
          </cell>
        </row>
        <row r="29">
          <cell r="B29">
            <v>4</v>
          </cell>
          <cell r="C29" t="str">
            <v>Money in transit</v>
          </cell>
        </row>
        <row r="30">
          <cell r="B30">
            <v>5</v>
          </cell>
          <cell r="C30" t="str">
            <v>Money in Safe</v>
          </cell>
        </row>
        <row r="31">
          <cell r="B31">
            <v>6</v>
          </cell>
          <cell r="C31" t="str">
            <v>Money in Counter</v>
          </cell>
        </row>
        <row r="32">
          <cell r="B32">
            <v>7</v>
          </cell>
          <cell r="C32" t="str">
            <v>Fidelity Insurance</v>
          </cell>
        </row>
        <row r="33">
          <cell r="B33">
            <v>8</v>
          </cell>
          <cell r="C33" t="str">
            <v>Public Liability</v>
          </cell>
        </row>
        <row r="35">
          <cell r="B35">
            <v>1</v>
          </cell>
          <cell r="C35" t="str">
            <v>In Electronic Equipment Section, the items which are covered are Computer ,Printing machine .EDC Machine  equipments  are covering shop wise</v>
          </cell>
        </row>
        <row r="36">
          <cell r="C36" t="str">
            <v>In Machinery list of the equipments shop wise are Swings Machine, Steam Iron, etc</v>
          </cell>
        </row>
        <row r="37">
          <cell r="C37" t="str">
            <v>In Personal Accident.  Unamed basis covering 2 employess</v>
          </cell>
        </row>
        <row r="38">
          <cell r="C38" t="str">
            <v>In Fidelity Insurance section, 2 employees shop wise,with the activity nvolved are cash transaction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I0203"/>
      <sheetName val="FORM3CD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ity"/>
      <sheetName val="Depreciation"/>
      <sheetName val="Stock"/>
      <sheetName val="Prepaid"/>
      <sheetName val="DAMAN"/>
      <sheetName val="MAR'07"/>
      <sheetName val="ABRIDGE "/>
      <sheetName val="RASCHEL"/>
      <sheetName val="Raschel RM Cons"/>
      <sheetName val="sch.14"/>
      <sheetName val="VALUATION"/>
      <sheetName val="DEBTORS MORE THAN 6 MONTHS"/>
      <sheetName val="MARKET RATE OF INVESTMENT"/>
      <sheetName val="115JB"/>
      <sheetName val="IT 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phire Business Plan"/>
      <sheetName val="Business Plan"/>
      <sheetName val="Sheet2"/>
      <sheetName val="Annual Budget"/>
      <sheetName val="Cover"/>
      <sheetName val="EQ"/>
      <sheetName val="SUM"/>
      <sheetName val="CONSOL"/>
      <sheetName val="Existing --&gt;"/>
      <sheetName val="EXISTCOL"/>
      <sheetName val="NBPU"/>
      <sheetName val="NBMU"/>
      <sheetName val="EXIST"/>
      <sheetName val="Expansion --&gt;"/>
      <sheetName val="NEWCOL"/>
      <sheetName val="HO"/>
      <sheetName val="MU2"/>
      <sheetName val="HYB"/>
      <sheetName val="KOL"/>
      <sheetName val="BAN"/>
      <sheetName val="CHE"/>
      <sheetName val="NCR"/>
      <sheetName val="MU1"/>
      <sheetName val="Assumptions --&gt;"/>
      <sheetName val="BA"/>
      <sheetName val="Sales"/>
      <sheetName val="Capex"/>
      <sheetName val="Loan"/>
      <sheetName val="HO PHASING"/>
      <sheetName val="HO Salary"/>
      <sheetName val="Exist HO Salary"/>
      <sheetName val="PRE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F15">
            <v>51.1875</v>
          </cell>
        </row>
      </sheetData>
      <sheetData sheetId="11">
        <row r="15">
          <cell r="F15">
            <v>87.5</v>
          </cell>
        </row>
      </sheetData>
      <sheetData sheetId="12"/>
      <sheetData sheetId="13"/>
      <sheetData sheetId="14">
        <row r="8">
          <cell r="F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C8">
            <v>75</v>
          </cell>
        </row>
        <row r="9">
          <cell r="C9">
            <v>75</v>
          </cell>
        </row>
      </sheetData>
      <sheetData sheetId="25">
        <row r="619">
          <cell r="J619">
            <v>0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4.5" x14ac:dyDescent="0.35"/>
  <cols>
    <col min="1" max="1" width="2.7265625" customWidth="1"/>
    <col min="2" max="2" width="30.7265625" customWidth="1"/>
    <col min="3" max="3" width="12.453125" customWidth="1"/>
    <col min="4" max="4" width="12" customWidth="1"/>
    <col min="5" max="13" width="12.81640625" customWidth="1"/>
    <col min="15" max="15" width="9.81640625" bestFit="1" customWidth="1"/>
  </cols>
  <sheetData>
    <row r="1" spans="2:14" ht="18.5" x14ac:dyDescent="0.45">
      <c r="B1" s="140" t="s">
        <v>68</v>
      </c>
    </row>
    <row r="2" spans="2:14" x14ac:dyDescent="0.35">
      <c r="M2" s="141" t="s">
        <v>31</v>
      </c>
    </row>
    <row r="3" spans="2:14" x14ac:dyDescent="0.35">
      <c r="B3" s="58" t="s">
        <v>55</v>
      </c>
      <c r="C3" s="49">
        <v>44469</v>
      </c>
      <c r="D3" s="49">
        <v>44651</v>
      </c>
      <c r="E3" s="49">
        <v>45016</v>
      </c>
      <c r="F3" s="49">
        <v>45382</v>
      </c>
      <c r="G3" s="49">
        <v>45747</v>
      </c>
      <c r="H3" s="49">
        <v>46112</v>
      </c>
      <c r="I3" s="49">
        <v>46477</v>
      </c>
      <c r="J3" s="49">
        <v>46843</v>
      </c>
      <c r="K3" s="49">
        <v>47208</v>
      </c>
      <c r="L3" s="49">
        <v>47573</v>
      </c>
      <c r="M3" s="49">
        <v>47938</v>
      </c>
    </row>
    <row r="4" spans="2:14" s="2" customFormat="1" x14ac:dyDescent="0.35">
      <c r="B4" s="82"/>
      <c r="C4" s="214" t="s">
        <v>296</v>
      </c>
      <c r="D4" s="214" t="s">
        <v>295</v>
      </c>
      <c r="E4" s="214" t="s">
        <v>298</v>
      </c>
      <c r="F4" s="214" t="s">
        <v>297</v>
      </c>
      <c r="G4" s="214" t="s">
        <v>299</v>
      </c>
      <c r="H4" s="214" t="s">
        <v>300</v>
      </c>
      <c r="I4" s="214" t="s">
        <v>301</v>
      </c>
      <c r="J4" s="214" t="s">
        <v>302</v>
      </c>
      <c r="K4" s="214" t="s">
        <v>303</v>
      </c>
      <c r="L4" s="214" t="s">
        <v>304</v>
      </c>
      <c r="M4" s="214" t="s">
        <v>305</v>
      </c>
    </row>
    <row r="5" spans="2:14" x14ac:dyDescent="0.35">
      <c r="B5" s="3" t="s">
        <v>56</v>
      </c>
      <c r="C5" s="29">
        <f>Historical!G5/10^7</f>
        <v>0.39328800000000003</v>
      </c>
      <c r="D5" s="29">
        <f>C5</f>
        <v>0.39328800000000003</v>
      </c>
      <c r="E5" s="29">
        <f>D5+375</f>
        <v>375.39328799999998</v>
      </c>
      <c r="F5" s="29">
        <f>E5+375</f>
        <v>750.39328799999998</v>
      </c>
      <c r="G5" s="29">
        <f t="shared" ref="G5:M5" si="0">F5</f>
        <v>750.39328799999998</v>
      </c>
      <c r="H5" s="29">
        <f t="shared" si="0"/>
        <v>750.39328799999998</v>
      </c>
      <c r="I5" s="29">
        <f t="shared" si="0"/>
        <v>750.39328799999998</v>
      </c>
      <c r="J5" s="29">
        <f t="shared" si="0"/>
        <v>750.39328799999998</v>
      </c>
      <c r="K5" s="29">
        <f t="shared" si="0"/>
        <v>750.39328799999998</v>
      </c>
      <c r="L5" s="29">
        <f t="shared" si="0"/>
        <v>750.39328799999998</v>
      </c>
      <c r="M5" s="29">
        <f t="shared" si="0"/>
        <v>750.39328799999998</v>
      </c>
    </row>
    <row r="6" spans="2:14" x14ac:dyDescent="0.35">
      <c r="B6" s="3" t="s">
        <v>57</v>
      </c>
      <c r="C6" s="29">
        <f>Historical!G6/10^7</f>
        <v>411.24185530975797</v>
      </c>
      <c r="D6" s="29">
        <f>C6+'P&amp;L'!E31</f>
        <v>412.8096842510227</v>
      </c>
      <c r="E6" s="29">
        <f>D6+'P&amp;L'!F31</f>
        <v>391.96378570016577</v>
      </c>
      <c r="F6" s="29">
        <f>E6+'P&amp;L'!G31</f>
        <v>367.14675051490792</v>
      </c>
      <c r="G6" s="29">
        <f>F6+'P&amp;L'!H31</f>
        <v>416.19378511298959</v>
      </c>
      <c r="H6" s="29">
        <f>G6+'P&amp;L'!I31</f>
        <v>569.16774444051441</v>
      </c>
      <c r="I6" s="29">
        <f>H6+'P&amp;L'!J31</f>
        <v>824.73781147297746</v>
      </c>
      <c r="J6" s="29">
        <f>I6+'P&amp;L'!K31</f>
        <v>1197.7553870807074</v>
      </c>
      <c r="K6" s="29">
        <f>J6+'P&amp;L'!L31</f>
        <v>1702.5810762177782</v>
      </c>
      <c r="L6" s="29">
        <f>K6+'P&amp;L'!M31</f>
        <v>2324.2636030667127</v>
      </c>
      <c r="M6" s="29">
        <f>L6+'P&amp;L'!N31</f>
        <v>3002.6877726195635</v>
      </c>
      <c r="N6" s="9"/>
    </row>
    <row r="7" spans="2:14" x14ac:dyDescent="0.35">
      <c r="B7" s="3" t="s">
        <v>58</v>
      </c>
      <c r="C7" s="29">
        <f>'Cash Flow'!B23</f>
        <v>0</v>
      </c>
      <c r="D7" s="133">
        <f>'Cash Flow'!C65</f>
        <v>100</v>
      </c>
      <c r="E7" s="133">
        <f>'Cash Flow'!D65</f>
        <v>220</v>
      </c>
      <c r="F7" s="133">
        <f>'Cash Flow'!E65</f>
        <v>551</v>
      </c>
      <c r="G7" s="133">
        <f>'Cash Flow'!F65</f>
        <v>894</v>
      </c>
      <c r="H7" s="133">
        <f>'Cash Flow'!G65</f>
        <v>1086.5</v>
      </c>
      <c r="I7" s="133">
        <f>'Cash Flow'!H65</f>
        <v>1220</v>
      </c>
      <c r="J7" s="133">
        <f>'Cash Flow'!I65</f>
        <v>1107.5833333333333</v>
      </c>
      <c r="K7" s="133">
        <f>'Cash Flow'!J65</f>
        <v>499</v>
      </c>
      <c r="L7" s="133">
        <f>'Cash Flow'!K65</f>
        <v>0</v>
      </c>
      <c r="M7" s="133">
        <f>'Cash Flow'!L65</f>
        <v>0</v>
      </c>
    </row>
    <row r="8" spans="2:14" x14ac:dyDescent="0.35">
      <c r="B8" s="3" t="s">
        <v>59</v>
      </c>
      <c r="C8" s="29">
        <f>(Historical!G17+Historical!G19)/10^7</f>
        <v>11.062254350337499</v>
      </c>
      <c r="D8" s="29">
        <f>'P&amp;L'!E23*BA!$C$132/180</f>
        <v>4.1929338477941167</v>
      </c>
      <c r="E8" s="29">
        <f>'P&amp;L'!F23*BA!$C$132/365</f>
        <v>7.5893630615310119</v>
      </c>
      <c r="F8" s="29">
        <f>'P&amp;L'!G23*BA!$C$132/365</f>
        <v>14.725909849376469</v>
      </c>
      <c r="G8" s="29">
        <f>'P&amp;L'!H23*BA!$C$132/365</f>
        <v>26.420568401679706</v>
      </c>
      <c r="H8" s="29">
        <f>'P&amp;L'!I23*BA!$C$132/365</f>
        <v>42.123869385197601</v>
      </c>
      <c r="I8" s="29">
        <f>'P&amp;L'!J23*BA!$C$132/365</f>
        <v>58.264307996734559</v>
      </c>
      <c r="J8" s="29">
        <f>'P&amp;L'!K23*BA!$C$132/365</f>
        <v>73.477952735133925</v>
      </c>
      <c r="K8" s="29">
        <f>'P&amp;L'!L23*BA!$C$132/365</f>
        <v>87.559150351542399</v>
      </c>
      <c r="L8" s="29">
        <f>'P&amp;L'!M23*BA!$C$132/365</f>
        <v>98.532671713094629</v>
      </c>
      <c r="M8" s="29">
        <f>'P&amp;L'!N23*BA!$C$132/365</f>
        <v>104.07750914239405</v>
      </c>
    </row>
    <row r="9" spans="2:14" x14ac:dyDescent="0.35">
      <c r="B9" s="3" t="s">
        <v>187</v>
      </c>
      <c r="C9" s="29">
        <f>(Historical!G10+Historical!G11+Historical!G20)/10^7</f>
        <v>3.074697</v>
      </c>
      <c r="D9" s="29">
        <f>'P&amp;L'!E30</f>
        <v>0</v>
      </c>
      <c r="E9" s="29">
        <f>'P&amp;L'!F30</f>
        <v>0</v>
      </c>
      <c r="F9" s="29">
        <f>'P&amp;L'!G30</f>
        <v>0</v>
      </c>
      <c r="G9" s="29">
        <f>'P&amp;L'!H30</f>
        <v>1.4289049049018818</v>
      </c>
      <c r="H9" s="29">
        <f>'P&amp;L'!I30</f>
        <v>52.905882790243204</v>
      </c>
      <c r="I9" s="29">
        <f>'P&amp;L'!J30</f>
        <v>87.367777350715087</v>
      </c>
      <c r="J9" s="29">
        <f>'P&amp;L'!K30</f>
        <v>126.2265395900781</v>
      </c>
      <c r="K9" s="29">
        <f>'P&amp;L'!L30</f>
        <v>170.15115537503442</v>
      </c>
      <c r="L9" s="29">
        <f>'P&amp;L'!M30</f>
        <v>209.15534801734796</v>
      </c>
      <c r="M9" s="29">
        <f>'P&amp;L'!N30</f>
        <v>228.03731863037223</v>
      </c>
    </row>
    <row r="10" spans="2:14" x14ac:dyDescent="0.35">
      <c r="B10" s="36"/>
      <c r="C10" s="70">
        <f t="shared" ref="C10:M10" si="1">SUM(C5:C9)</f>
        <v>425.77209466009549</v>
      </c>
      <c r="D10" s="70">
        <f t="shared" si="1"/>
        <v>517.39590609881679</v>
      </c>
      <c r="E10" s="70">
        <f t="shared" si="1"/>
        <v>994.94643676169676</v>
      </c>
      <c r="F10" s="70">
        <f t="shared" si="1"/>
        <v>1683.2659483642842</v>
      </c>
      <c r="G10" s="70">
        <f t="shared" si="1"/>
        <v>2088.4365464195716</v>
      </c>
      <c r="H10" s="70">
        <f t="shared" si="1"/>
        <v>2501.0907846159548</v>
      </c>
      <c r="I10" s="70">
        <f t="shared" si="1"/>
        <v>2940.7631848204273</v>
      </c>
      <c r="J10" s="70">
        <f t="shared" si="1"/>
        <v>3255.4365007392526</v>
      </c>
      <c r="K10" s="70">
        <f t="shared" si="1"/>
        <v>3209.6846699443549</v>
      </c>
      <c r="L10" s="70">
        <f t="shared" si="1"/>
        <v>3382.3449107971555</v>
      </c>
      <c r="M10" s="70">
        <f t="shared" si="1"/>
        <v>4085.1958883923298</v>
      </c>
    </row>
    <row r="11" spans="2:14" x14ac:dyDescent="0.35">
      <c r="B11" s="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2:14" x14ac:dyDescent="0.35">
      <c r="B12" s="3" t="s">
        <v>60</v>
      </c>
      <c r="C12" s="29">
        <f>SUM(Historical!G28:G29)/10^7</f>
        <v>102.87520337809545</v>
      </c>
      <c r="D12" s="29">
        <f>FA!F9</f>
        <v>479.48272578112494</v>
      </c>
      <c r="E12" s="29">
        <f>FA!G9</f>
        <v>951.95605063372955</v>
      </c>
      <c r="F12" s="29">
        <f>FA!H9</f>
        <v>1624.3928388777354</v>
      </c>
      <c r="G12" s="29">
        <f>FA!I9</f>
        <v>2010.5863367798488</v>
      </c>
      <c r="H12" s="29">
        <f>FA!J9</f>
        <v>2392.9779018813574</v>
      </c>
      <c r="I12" s="29">
        <f>FA!K9</f>
        <v>2806.0622906500739</v>
      </c>
      <c r="J12" s="29">
        <f>FA!L9</f>
        <v>3090.607613474891</v>
      </c>
      <c r="K12" s="29">
        <f>FA!M9</f>
        <v>3026.5058591435704</v>
      </c>
      <c r="L12" s="29">
        <f>FA!N9</f>
        <v>2970.878159201483</v>
      </c>
      <c r="M12" s="29">
        <f>FA!O9</f>
        <v>2922.3269088242114</v>
      </c>
    </row>
    <row r="13" spans="2:14" x14ac:dyDescent="0.35">
      <c r="B13" s="3" t="s">
        <v>61</v>
      </c>
      <c r="C13" s="29">
        <f>Historical!G38/10^7</f>
        <v>5.7122115420000004</v>
      </c>
      <c r="D13" s="29">
        <f>'P&amp;L'!E10*BA!$C$131/180</f>
        <v>5.3527609374999994</v>
      </c>
      <c r="E13" s="29">
        <f>'P&amp;L'!F10*BA!$C$131/365</f>
        <v>8.906698124260183</v>
      </c>
      <c r="F13" s="29">
        <f>'P&amp;L'!G10*BA!$C$131/365</f>
        <v>20.055009293546625</v>
      </c>
      <c r="G13" s="29">
        <f>'P&amp;L'!H10*BA!$C$131/365</f>
        <v>40.886851272984082</v>
      </c>
      <c r="H13" s="29">
        <f>'P&amp;L'!I10*BA!$C$131/365</f>
        <v>70.357048318040825</v>
      </c>
      <c r="I13" s="29">
        <f>'P&amp;L'!J10*BA!$C$131/365</f>
        <v>99.236586540388998</v>
      </c>
      <c r="J13" s="29">
        <f>'P&amp;L'!K10*BA!$C$131/365</f>
        <v>126.37381238222906</v>
      </c>
      <c r="K13" s="29">
        <f>'P&amp;L'!L10*BA!$C$131/365</f>
        <v>152.30556943456369</v>
      </c>
      <c r="L13" s="29">
        <f>'P&amp;L'!M10*BA!$C$131/365</f>
        <v>172.65778745076889</v>
      </c>
      <c r="M13" s="29">
        <f>'P&amp;L'!N10*BA!$C$131/365</f>
        <v>182.57926847613336</v>
      </c>
    </row>
    <row r="14" spans="2:14" x14ac:dyDescent="0.35">
      <c r="B14" s="3" t="s">
        <v>188</v>
      </c>
      <c r="C14" s="29">
        <f>Historical!G32/10^7</f>
        <v>6.8343102</v>
      </c>
      <c r="D14" s="29">
        <f t="shared" ref="D14:M14" si="2">C14</f>
        <v>6.8343102</v>
      </c>
      <c r="E14" s="29">
        <f t="shared" si="2"/>
        <v>6.8343102</v>
      </c>
      <c r="F14" s="29">
        <f t="shared" si="2"/>
        <v>6.8343102</v>
      </c>
      <c r="G14" s="29">
        <f t="shared" si="2"/>
        <v>6.8343102</v>
      </c>
      <c r="H14" s="29">
        <f t="shared" si="2"/>
        <v>6.8343102</v>
      </c>
      <c r="I14" s="29">
        <f t="shared" si="2"/>
        <v>6.8343102</v>
      </c>
      <c r="J14" s="29">
        <f t="shared" si="2"/>
        <v>6.8343102</v>
      </c>
      <c r="K14" s="29">
        <f t="shared" si="2"/>
        <v>6.8343102</v>
      </c>
      <c r="L14" s="29">
        <f t="shared" si="2"/>
        <v>6.8343102</v>
      </c>
      <c r="M14" s="29">
        <f t="shared" si="2"/>
        <v>6.8343102</v>
      </c>
    </row>
    <row r="15" spans="2:14" x14ac:dyDescent="0.35">
      <c r="B15" s="3" t="s">
        <v>62</v>
      </c>
      <c r="C15" s="29">
        <f>(Historical!G33+Historical!G34+Historical!G40+Historical!G41)/10^7</f>
        <v>23.523093137</v>
      </c>
      <c r="D15" s="29">
        <f t="shared" ref="D15:M15" si="3">C15</f>
        <v>23.523093137</v>
      </c>
      <c r="E15" s="29">
        <f t="shared" si="3"/>
        <v>23.523093137</v>
      </c>
      <c r="F15" s="29">
        <f t="shared" si="3"/>
        <v>23.523093137</v>
      </c>
      <c r="G15" s="29">
        <f t="shared" si="3"/>
        <v>23.523093137</v>
      </c>
      <c r="H15" s="29">
        <f t="shared" si="3"/>
        <v>23.523093137</v>
      </c>
      <c r="I15" s="29">
        <f t="shared" si="3"/>
        <v>23.523093137</v>
      </c>
      <c r="J15" s="29">
        <f t="shared" si="3"/>
        <v>23.523093137</v>
      </c>
      <c r="K15" s="29">
        <f t="shared" si="3"/>
        <v>23.523093137</v>
      </c>
      <c r="L15" s="29">
        <f t="shared" si="3"/>
        <v>23.523093137</v>
      </c>
      <c r="M15" s="29">
        <f t="shared" si="3"/>
        <v>23.523093137</v>
      </c>
    </row>
    <row r="16" spans="2:14" x14ac:dyDescent="0.35">
      <c r="B16" s="3" t="s">
        <v>63</v>
      </c>
      <c r="C16" s="29">
        <f>Historical!G39/10^7</f>
        <v>286.82727640299998</v>
      </c>
      <c r="D16" s="29">
        <f>'Cash Flow'!C29</f>
        <v>2.2030160431918944</v>
      </c>
      <c r="E16" s="29">
        <f>'Cash Flow'!D29</f>
        <v>3.726284666706853</v>
      </c>
      <c r="F16" s="29">
        <f>'Cash Flow'!E29</f>
        <v>8.4606968560026843</v>
      </c>
      <c r="G16" s="29">
        <f>'Cash Flow'!F29</f>
        <v>6.6059550297382685</v>
      </c>
      <c r="H16" s="29">
        <f>'Cash Flow'!G29</f>
        <v>7.3984310795568291</v>
      </c>
      <c r="I16" s="29">
        <f>'Cash Flow'!H29</f>
        <v>5.1069042929646145</v>
      </c>
      <c r="J16" s="29">
        <f>'Cash Flow'!I29</f>
        <v>8.0976715451330534</v>
      </c>
      <c r="K16" s="29">
        <f>'Cash Flow'!J29</f>
        <v>0.51583802922142752</v>
      </c>
      <c r="L16" s="29">
        <f>'Cash Flow'!K29</f>
        <v>208.45156080790417</v>
      </c>
      <c r="M16" s="29">
        <f>'Cash Flow'!L29</f>
        <v>949.93230775498614</v>
      </c>
    </row>
    <row r="17" spans="2:13" x14ac:dyDescent="0.35">
      <c r="B17" s="36"/>
      <c r="C17" s="70">
        <f t="shared" ref="C17:M17" si="4">SUM(C12:C16)</f>
        <v>425.77209466009543</v>
      </c>
      <c r="D17" s="70">
        <f t="shared" si="4"/>
        <v>517.39590609881679</v>
      </c>
      <c r="E17" s="70">
        <f t="shared" si="4"/>
        <v>994.94643676169665</v>
      </c>
      <c r="F17" s="70">
        <f t="shared" si="4"/>
        <v>1683.2659483642844</v>
      </c>
      <c r="G17" s="70">
        <f t="shared" si="4"/>
        <v>2088.4365464195712</v>
      </c>
      <c r="H17" s="70">
        <f t="shared" si="4"/>
        <v>2501.0907846159548</v>
      </c>
      <c r="I17" s="70">
        <f t="shared" si="4"/>
        <v>2940.7631848204278</v>
      </c>
      <c r="J17" s="70">
        <f t="shared" si="4"/>
        <v>3255.436500739253</v>
      </c>
      <c r="K17" s="70">
        <f t="shared" si="4"/>
        <v>3209.6846699443554</v>
      </c>
      <c r="L17" s="70">
        <f t="shared" si="4"/>
        <v>3382.344910797156</v>
      </c>
      <c r="M17" s="70">
        <f t="shared" si="4"/>
        <v>4085.1958883923307</v>
      </c>
    </row>
    <row r="18" spans="2:13" x14ac:dyDescent="0.35">
      <c r="C18" s="8">
        <f t="shared" ref="C18:M18" si="5">C10-C17</f>
        <v>0</v>
      </c>
      <c r="D18" s="3">
        <f t="shared" si="5"/>
        <v>0</v>
      </c>
      <c r="E18" s="3">
        <f t="shared" si="5"/>
        <v>0</v>
      </c>
      <c r="F18" s="3">
        <f t="shared" si="5"/>
        <v>0</v>
      </c>
      <c r="G18" s="3">
        <f t="shared" si="5"/>
        <v>0</v>
      </c>
      <c r="H18" s="3">
        <f t="shared" si="5"/>
        <v>0</v>
      </c>
      <c r="I18" s="3">
        <f t="shared" si="5"/>
        <v>0</v>
      </c>
      <c r="J18" s="3">
        <f t="shared" si="5"/>
        <v>0</v>
      </c>
      <c r="K18" s="3">
        <f t="shared" si="5"/>
        <v>0</v>
      </c>
      <c r="L18" s="3">
        <f t="shared" si="5"/>
        <v>0</v>
      </c>
      <c r="M18" s="3">
        <f t="shared" si="5"/>
        <v>0</v>
      </c>
    </row>
    <row r="19" spans="2:13" x14ac:dyDescent="0.35">
      <c r="B19" s="83"/>
    </row>
    <row r="20" spans="2:13" x14ac:dyDescent="0.35">
      <c r="B20" s="83"/>
    </row>
    <row r="21" spans="2:13" x14ac:dyDescent="0.35">
      <c r="B21" s="83"/>
    </row>
    <row r="22" spans="2:13" x14ac:dyDescent="0.35">
      <c r="B22" s="83"/>
    </row>
    <row r="23" spans="2:13" x14ac:dyDescent="0.35">
      <c r="B23" s="83"/>
    </row>
    <row r="24" spans="2:13" x14ac:dyDescent="0.35">
      <c r="B24" s="83"/>
    </row>
    <row r="25" spans="2:13" x14ac:dyDescent="0.35">
      <c r="B25" s="83"/>
    </row>
    <row r="26" spans="2:13" x14ac:dyDescent="0.35">
      <c r="B26" s="83"/>
    </row>
    <row r="27" spans="2:13" x14ac:dyDescent="0.35">
      <c r="B27" s="83"/>
    </row>
    <row r="28" spans="2:13" x14ac:dyDescent="0.35">
      <c r="B28" s="83"/>
    </row>
    <row r="29" spans="2:13" x14ac:dyDescent="0.35">
      <c r="B29" s="83"/>
    </row>
    <row r="30" spans="2:13" x14ac:dyDescent="0.35">
      <c r="B30" s="83"/>
    </row>
    <row r="31" spans="2:13" x14ac:dyDescent="0.35">
      <c r="B31" s="83"/>
    </row>
    <row r="32" spans="2:13" x14ac:dyDescent="0.35">
      <c r="B32" s="83"/>
    </row>
    <row r="33" spans="2:2" x14ac:dyDescent="0.35">
      <c r="B33" s="83"/>
    </row>
    <row r="34" spans="2:2" x14ac:dyDescent="0.35">
      <c r="B34" s="8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4.5" x14ac:dyDescent="0.35"/>
  <cols>
    <col min="1" max="1" width="30.7265625" customWidth="1"/>
    <col min="2" max="2" width="12.453125" bestFit="1" customWidth="1"/>
    <col min="3" max="12" width="12.81640625" bestFit="1" customWidth="1"/>
  </cols>
  <sheetData>
    <row r="1" spans="1:12" ht="18.5" x14ac:dyDescent="0.45">
      <c r="A1" s="140" t="s">
        <v>68</v>
      </c>
    </row>
    <row r="2" spans="1:12" x14ac:dyDescent="0.35">
      <c r="L2" s="141" t="s">
        <v>31</v>
      </c>
    </row>
    <row r="3" spans="1:12" x14ac:dyDescent="0.35">
      <c r="A3" s="58" t="s">
        <v>90</v>
      </c>
      <c r="B3" s="49">
        <v>44469</v>
      </c>
      <c r="C3" s="49">
        <v>44651</v>
      </c>
      <c r="D3" s="49">
        <v>45016</v>
      </c>
      <c r="E3" s="49">
        <v>45382</v>
      </c>
      <c r="F3" s="49">
        <v>45747</v>
      </c>
      <c r="G3" s="49">
        <v>46112</v>
      </c>
      <c r="H3" s="49">
        <v>46477</v>
      </c>
      <c r="I3" s="49">
        <v>46843</v>
      </c>
      <c r="J3" s="49">
        <v>47208</v>
      </c>
      <c r="K3" s="49">
        <v>47573</v>
      </c>
      <c r="L3" s="49">
        <v>47938</v>
      </c>
    </row>
    <row r="4" spans="1:12" x14ac:dyDescent="0.35">
      <c r="A4" s="82"/>
      <c r="B4" s="214" t="s">
        <v>296</v>
      </c>
      <c r="C4" s="214" t="s">
        <v>295</v>
      </c>
      <c r="D4" s="214" t="s">
        <v>298</v>
      </c>
      <c r="E4" s="214" t="s">
        <v>297</v>
      </c>
      <c r="F4" s="214" t="s">
        <v>299</v>
      </c>
      <c r="G4" s="214" t="s">
        <v>300</v>
      </c>
      <c r="H4" s="214" t="s">
        <v>301</v>
      </c>
      <c r="I4" s="214" t="s">
        <v>302</v>
      </c>
      <c r="J4" s="214" t="s">
        <v>303</v>
      </c>
      <c r="K4" s="214" t="s">
        <v>304</v>
      </c>
      <c r="L4" s="214" t="s">
        <v>305</v>
      </c>
    </row>
    <row r="5" spans="1:12" x14ac:dyDescent="0.35">
      <c r="A5" s="32" t="s">
        <v>151</v>
      </c>
      <c r="C5" s="9">
        <f>'P&amp;L'!E26</f>
        <v>6.9589625382352978</v>
      </c>
      <c r="D5" s="9">
        <f>'P&amp;L'!F26</f>
        <v>16.027576596538253</v>
      </c>
      <c r="E5" s="9">
        <f>'P&amp;L'!G26</f>
        <v>64.837376570736893</v>
      </c>
      <c r="F5" s="9">
        <f>'P&amp;L'!H26</f>
        <v>176.00644160086989</v>
      </c>
      <c r="G5" s="9">
        <f>'P&amp;L'!I26</f>
        <v>343.5036770162593</v>
      </c>
      <c r="H5" s="9">
        <f>'P&amp;L'!J26</f>
        <v>498.49605561446219</v>
      </c>
      <c r="I5" s="9">
        <f>'P&amp;L'!K26</f>
        <v>643.56629237299092</v>
      </c>
      <c r="J5" s="9">
        <f>'P&amp;L'!L26</f>
        <v>787.74809884342585</v>
      </c>
      <c r="K5" s="9">
        <f>'P&amp;L'!M26</f>
        <v>901.85557480837019</v>
      </c>
      <c r="L5" s="9">
        <f>'P&amp;L'!N26</f>
        <v>955.10473856049498</v>
      </c>
    </row>
    <row r="6" spans="1:12" x14ac:dyDescent="0.35">
      <c r="A6" s="32" t="s">
        <v>244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35">
      <c r="A7" s="32" t="s">
        <v>8</v>
      </c>
      <c r="C7" s="29">
        <f t="shared" ref="C7:L7" si="0">C67</f>
        <v>1.5</v>
      </c>
      <c r="D7" s="29">
        <f t="shared" si="0"/>
        <v>9.6</v>
      </c>
      <c r="E7" s="29">
        <f t="shared" si="0"/>
        <v>23.13</v>
      </c>
      <c r="F7" s="29">
        <f t="shared" si="0"/>
        <v>43.35</v>
      </c>
      <c r="G7" s="29">
        <f t="shared" si="0"/>
        <v>59.414999999999999</v>
      </c>
      <c r="H7" s="29">
        <f t="shared" si="0"/>
        <v>69.194999999999993</v>
      </c>
      <c r="I7" s="29">
        <f t="shared" si="0"/>
        <v>69.827499999999986</v>
      </c>
      <c r="J7" s="29">
        <f t="shared" si="0"/>
        <v>48.197499999999998</v>
      </c>
      <c r="K7" s="29">
        <f t="shared" si="0"/>
        <v>14.969999999999999</v>
      </c>
      <c r="L7" s="29">
        <f t="shared" si="0"/>
        <v>0</v>
      </c>
    </row>
    <row r="8" spans="1:12" x14ac:dyDescent="0.35">
      <c r="A8" s="32" t="s">
        <v>11</v>
      </c>
      <c r="B8" s="87"/>
      <c r="C8" s="187">
        <f>'P&amp;L'!E30</f>
        <v>0</v>
      </c>
      <c r="D8" s="187">
        <f>'P&amp;L'!F30</f>
        <v>0</v>
      </c>
      <c r="E8" s="187">
        <f>'P&amp;L'!G30</f>
        <v>0</v>
      </c>
      <c r="F8" s="187">
        <f>'P&amp;L'!H30</f>
        <v>1.4289049049018818</v>
      </c>
      <c r="G8" s="187">
        <f>'P&amp;L'!I30</f>
        <v>52.905882790243204</v>
      </c>
      <c r="H8" s="187">
        <f>'P&amp;L'!J30</f>
        <v>87.367777350715087</v>
      </c>
      <c r="I8" s="187">
        <f>'P&amp;L'!K30</f>
        <v>126.2265395900781</v>
      </c>
      <c r="J8" s="187">
        <f>'P&amp;L'!L30</f>
        <v>170.15115537503442</v>
      </c>
      <c r="K8" s="187">
        <f>'P&amp;L'!M30</f>
        <v>209.15534801734796</v>
      </c>
      <c r="L8" s="187">
        <f>'P&amp;L'!N30</f>
        <v>228.03731863037223</v>
      </c>
    </row>
    <row r="9" spans="1:12" x14ac:dyDescent="0.35">
      <c r="A9" s="3" t="s">
        <v>94</v>
      </c>
      <c r="C9" s="29">
        <f>-'Balance Sheet'!D8+'Balance Sheet'!C8</f>
        <v>6.8693205025433821</v>
      </c>
      <c r="D9" s="29">
        <f>-'Balance Sheet'!E8+'Balance Sheet'!D8</f>
        <v>-3.3964292137368952</v>
      </c>
      <c r="E9" s="29">
        <f>-'Balance Sheet'!F8+'Balance Sheet'!E8</f>
        <v>-7.1365467878454574</v>
      </c>
      <c r="F9" s="29">
        <f>-'Balance Sheet'!G8+'Balance Sheet'!F8</f>
        <v>-11.694658552303236</v>
      </c>
      <c r="G9" s="29">
        <f>-'Balance Sheet'!H8+'Balance Sheet'!G8</f>
        <v>-15.703300983517895</v>
      </c>
      <c r="H9" s="29">
        <f>-'Balance Sheet'!I8+'Balance Sheet'!H8</f>
        <v>-16.140438611536958</v>
      </c>
      <c r="I9" s="29">
        <f>-'Balance Sheet'!J8+'Balance Sheet'!I8</f>
        <v>-15.213644738399367</v>
      </c>
      <c r="J9" s="29">
        <f>-'Balance Sheet'!K8+'Balance Sheet'!J8</f>
        <v>-14.081197616408474</v>
      </c>
      <c r="K9" s="29">
        <f>-'Balance Sheet'!L8+'Balance Sheet'!K8</f>
        <v>-10.97352136155223</v>
      </c>
      <c r="L9" s="29">
        <f>-'Balance Sheet'!M8+'Balance Sheet'!L8</f>
        <v>-5.5448374292994203</v>
      </c>
    </row>
    <row r="10" spans="1:12" x14ac:dyDescent="0.35">
      <c r="A10" s="3" t="s">
        <v>95</v>
      </c>
      <c r="C10" s="29">
        <f>-'Balance Sheet'!D9+'Balance Sheet'!C9</f>
        <v>3.074697</v>
      </c>
      <c r="D10" s="29">
        <f>-'Balance Sheet'!E9+'Balance Sheet'!D9</f>
        <v>0</v>
      </c>
      <c r="E10" s="29">
        <f>-'Balance Sheet'!F9+'Balance Sheet'!E9</f>
        <v>0</v>
      </c>
      <c r="F10" s="29">
        <f>-'Balance Sheet'!G9+'Balance Sheet'!F9</f>
        <v>-1.4289049049018818</v>
      </c>
      <c r="G10" s="29">
        <f>-'Balance Sheet'!H9+'Balance Sheet'!G9</f>
        <v>-51.47697788534132</v>
      </c>
      <c r="H10" s="29">
        <f>-'Balance Sheet'!I9+'Balance Sheet'!H9</f>
        <v>-34.461894560471883</v>
      </c>
      <c r="I10" s="29">
        <f>-'Balance Sheet'!J9+'Balance Sheet'!I9</f>
        <v>-38.858762239363017</v>
      </c>
      <c r="J10" s="29">
        <f>-'Balance Sheet'!K9+'Balance Sheet'!J9</f>
        <v>-43.924615784956316</v>
      </c>
      <c r="K10" s="29">
        <f>-'Balance Sheet'!L9+'Balance Sheet'!K9</f>
        <v>-39.004192642313541</v>
      </c>
      <c r="L10" s="29">
        <f>-'Balance Sheet'!M9+'Balance Sheet'!L9</f>
        <v>-18.881970613024265</v>
      </c>
    </row>
    <row r="11" spans="1:12" x14ac:dyDescent="0.35">
      <c r="A11" s="3" t="s">
        <v>92</v>
      </c>
      <c r="C11" s="29">
        <f>-'Balance Sheet'!C13+'Balance Sheet'!D13</f>
        <v>-0.35945060450000099</v>
      </c>
      <c r="D11" s="29">
        <f>-'Balance Sheet'!D13+'Balance Sheet'!E13</f>
        <v>3.5539371867601837</v>
      </c>
      <c r="E11" s="29">
        <f>-'Balance Sheet'!E13+'Balance Sheet'!F13</f>
        <v>11.148311169286442</v>
      </c>
      <c r="F11" s="29">
        <f>-'Balance Sheet'!F13+'Balance Sheet'!G13</f>
        <v>20.831841979437456</v>
      </c>
      <c r="G11" s="29">
        <f>-'Balance Sheet'!G13+'Balance Sheet'!H13</f>
        <v>29.470197045056743</v>
      </c>
      <c r="H11" s="29">
        <f>-'Balance Sheet'!H13+'Balance Sheet'!I13</f>
        <v>28.879538222348174</v>
      </c>
      <c r="I11" s="29">
        <f>-'Balance Sheet'!I13+'Balance Sheet'!J13</f>
        <v>27.137225841840063</v>
      </c>
      <c r="J11" s="29">
        <f>-'Balance Sheet'!J13+'Balance Sheet'!K13</f>
        <v>25.931757052334632</v>
      </c>
      <c r="K11" s="29">
        <f>-'Balance Sheet'!K13+'Balance Sheet'!L13</f>
        <v>20.3522180162052</v>
      </c>
      <c r="L11" s="29">
        <f>-'Balance Sheet'!L13+'Balance Sheet'!M13</f>
        <v>9.9214810253644714</v>
      </c>
    </row>
    <row r="12" spans="1:12" x14ac:dyDescent="0.35">
      <c r="A12" s="3" t="s">
        <v>199</v>
      </c>
      <c r="C12" s="29">
        <f>-'Balance Sheet'!C14+'Balance Sheet'!D14</f>
        <v>0</v>
      </c>
      <c r="D12" s="29">
        <f>-'Balance Sheet'!D14+'Balance Sheet'!E14</f>
        <v>0</v>
      </c>
      <c r="E12" s="29">
        <f>-'Balance Sheet'!E14+'Balance Sheet'!F14</f>
        <v>0</v>
      </c>
      <c r="F12" s="29">
        <f>-'Balance Sheet'!F14+'Balance Sheet'!G14</f>
        <v>0</v>
      </c>
      <c r="G12" s="29">
        <f>-'Balance Sheet'!G14+'Balance Sheet'!H14</f>
        <v>0</v>
      </c>
      <c r="H12" s="29">
        <f>-'Balance Sheet'!H14+'Balance Sheet'!I14</f>
        <v>0</v>
      </c>
      <c r="I12" s="29">
        <f>-'Balance Sheet'!I14+'Balance Sheet'!J14</f>
        <v>0</v>
      </c>
      <c r="J12" s="29">
        <f>-'Balance Sheet'!J14+'Balance Sheet'!K14</f>
        <v>0</v>
      </c>
      <c r="K12" s="29">
        <f>-'Balance Sheet'!K14+'Balance Sheet'!L14</f>
        <v>0</v>
      </c>
      <c r="L12" s="29">
        <f>-'Balance Sheet'!L14+'Balance Sheet'!M14</f>
        <v>0</v>
      </c>
    </row>
    <row r="13" spans="1:12" x14ac:dyDescent="0.35">
      <c r="A13" s="3" t="s">
        <v>96</v>
      </c>
      <c r="C13" s="29">
        <f>-'Balance Sheet'!C15+'Balance Sheet'!D15</f>
        <v>0</v>
      </c>
      <c r="D13" s="29">
        <f>-'Balance Sheet'!D15+'Balance Sheet'!E15</f>
        <v>0</v>
      </c>
      <c r="E13" s="29">
        <f>-'Balance Sheet'!E15+'Balance Sheet'!F15</f>
        <v>0</v>
      </c>
      <c r="F13" s="29">
        <f>-'Balance Sheet'!F15+'Balance Sheet'!G15</f>
        <v>0</v>
      </c>
      <c r="G13" s="29">
        <f>-'Balance Sheet'!G15+'Balance Sheet'!H15</f>
        <v>0</v>
      </c>
      <c r="H13" s="29">
        <f>-'Balance Sheet'!H15+'Balance Sheet'!I15</f>
        <v>0</v>
      </c>
      <c r="I13" s="29">
        <f>-'Balance Sheet'!I15+'Balance Sheet'!J15</f>
        <v>0</v>
      </c>
      <c r="J13" s="29">
        <f>-'Balance Sheet'!J15+'Balance Sheet'!K15</f>
        <v>0</v>
      </c>
      <c r="K13" s="29">
        <f>-'Balance Sheet'!K15+'Balance Sheet'!L15</f>
        <v>0</v>
      </c>
      <c r="L13" s="29">
        <f>-'Balance Sheet'!L15+'Balance Sheet'!M15</f>
        <v>0</v>
      </c>
    </row>
    <row r="14" spans="1:12" x14ac:dyDescent="0.35">
      <c r="A14" s="44" t="s">
        <v>246</v>
      </c>
      <c r="B14" s="37"/>
      <c r="C14" s="188">
        <f t="shared" ref="C14:L14" si="1">C5-SUM(C7:C13)</f>
        <v>-4.1256043598080829</v>
      </c>
      <c r="D14" s="188">
        <f t="shared" si="1"/>
        <v>6.2700686235149661</v>
      </c>
      <c r="E14" s="188">
        <f t="shared" si="1"/>
        <v>37.695612189295908</v>
      </c>
      <c r="F14" s="188">
        <f t="shared" si="1"/>
        <v>123.51925817373566</v>
      </c>
      <c r="G14" s="188">
        <f t="shared" si="1"/>
        <v>268.8928760498186</v>
      </c>
      <c r="H14" s="188">
        <f t="shared" si="1"/>
        <v>363.65607321340781</v>
      </c>
      <c r="I14" s="188">
        <f t="shared" si="1"/>
        <v>474.44743391883515</v>
      </c>
      <c r="J14" s="188">
        <f t="shared" si="1"/>
        <v>601.47349981742161</v>
      </c>
      <c r="K14" s="188">
        <f t="shared" si="1"/>
        <v>707.35572277868278</v>
      </c>
      <c r="L14" s="188">
        <f t="shared" si="1"/>
        <v>741.57274694708201</v>
      </c>
    </row>
    <row r="15" spans="1:12" x14ac:dyDescent="0.35"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35">
      <c r="A16" s="43" t="s">
        <v>245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35">
      <c r="A17" t="s">
        <v>12</v>
      </c>
      <c r="C17" s="29">
        <f>-FA!F6</f>
        <v>-380.49865599999998</v>
      </c>
      <c r="D17" s="29">
        <f>-FA!G6</f>
        <v>-499.74680000000001</v>
      </c>
      <c r="E17" s="29">
        <f>-FA!H6</f>
        <v>-738.96120000000008</v>
      </c>
      <c r="F17" s="29">
        <f>-FA!I6</f>
        <v>-468.37400000000008</v>
      </c>
      <c r="G17" s="29">
        <f>-FA!J6</f>
        <v>-460.60040000000004</v>
      </c>
      <c r="H17" s="29">
        <f>-FA!K6</f>
        <v>-499.44760000000002</v>
      </c>
      <c r="I17" s="29">
        <f>-FA!L6</f>
        <v>-359.04</v>
      </c>
      <c r="J17" s="29">
        <f>-FA!M6</f>
        <v>-0.47199999999999998</v>
      </c>
      <c r="K17" s="29">
        <f>-FA!N6</f>
        <v>-0.42</v>
      </c>
      <c r="L17" s="29">
        <f>-FA!O6</f>
        <v>-9.1999999999999998E-2</v>
      </c>
    </row>
    <row r="18" spans="1:12" x14ac:dyDescent="0.35"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35">
      <c r="A19" s="22"/>
      <c r="B19" s="22"/>
      <c r="C19" s="70">
        <f t="shared" ref="C19:L19" si="2">SUM(C17:C18)</f>
        <v>-380.49865599999998</v>
      </c>
      <c r="D19" s="70">
        <f t="shared" si="2"/>
        <v>-499.74680000000001</v>
      </c>
      <c r="E19" s="70">
        <f t="shared" si="2"/>
        <v>-738.96120000000008</v>
      </c>
      <c r="F19" s="70">
        <f t="shared" si="2"/>
        <v>-468.37400000000008</v>
      </c>
      <c r="G19" s="70">
        <f t="shared" si="2"/>
        <v>-460.60040000000004</v>
      </c>
      <c r="H19" s="70">
        <f t="shared" si="2"/>
        <v>-499.44760000000002</v>
      </c>
      <c r="I19" s="70">
        <f t="shared" si="2"/>
        <v>-359.04</v>
      </c>
      <c r="J19" s="70">
        <f t="shared" si="2"/>
        <v>-0.47199999999999998</v>
      </c>
      <c r="K19" s="70">
        <f t="shared" si="2"/>
        <v>-0.42</v>
      </c>
      <c r="L19" s="70">
        <f t="shared" si="2"/>
        <v>-9.1999999999999998E-2</v>
      </c>
    </row>
    <row r="20" spans="1:12" x14ac:dyDescent="0.35"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35">
      <c r="A21" s="1" t="s">
        <v>247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35">
      <c r="A22" t="s">
        <v>248</v>
      </c>
      <c r="C22" s="29"/>
      <c r="D22" s="29">
        <v>375</v>
      </c>
      <c r="E22" s="29">
        <v>375</v>
      </c>
      <c r="F22" s="29"/>
      <c r="G22" s="29"/>
      <c r="H22" s="29"/>
      <c r="I22" s="29"/>
      <c r="J22" s="29"/>
      <c r="K22" s="29"/>
      <c r="L22" s="29"/>
    </row>
    <row r="23" spans="1:12" x14ac:dyDescent="0.35">
      <c r="A23" t="s">
        <v>252</v>
      </c>
      <c r="C23" s="29">
        <f t="shared" ref="C23:L23" si="3">C34-SUM(C37:C62)</f>
        <v>100</v>
      </c>
      <c r="D23" s="29">
        <f t="shared" si="3"/>
        <v>120</v>
      </c>
      <c r="E23" s="29">
        <f t="shared" si="3"/>
        <v>331</v>
      </c>
      <c r="F23" s="29">
        <f t="shared" si="3"/>
        <v>343</v>
      </c>
      <c r="G23" s="29">
        <f t="shared" si="3"/>
        <v>192.5</v>
      </c>
      <c r="H23" s="29">
        <f t="shared" si="3"/>
        <v>133.5</v>
      </c>
      <c r="I23" s="29">
        <f t="shared" si="3"/>
        <v>-112.41666666666669</v>
      </c>
      <c r="J23" s="29">
        <f t="shared" si="3"/>
        <v>-608.58333333333326</v>
      </c>
      <c r="K23" s="29">
        <f t="shared" si="3"/>
        <v>-499</v>
      </c>
      <c r="L23" s="29">
        <f t="shared" si="3"/>
        <v>0</v>
      </c>
    </row>
    <row r="24" spans="1:12" x14ac:dyDescent="0.35"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35">
      <c r="A25" s="22"/>
      <c r="B25" s="22"/>
      <c r="C25" s="70">
        <f t="shared" ref="C25:L25" si="4">SUM(C22:C23)</f>
        <v>100</v>
      </c>
      <c r="D25" s="70">
        <f t="shared" si="4"/>
        <v>495</v>
      </c>
      <c r="E25" s="70">
        <f t="shared" si="4"/>
        <v>706</v>
      </c>
      <c r="F25" s="70">
        <f t="shared" si="4"/>
        <v>343</v>
      </c>
      <c r="G25" s="70">
        <f t="shared" si="4"/>
        <v>192.5</v>
      </c>
      <c r="H25" s="70">
        <f t="shared" si="4"/>
        <v>133.5</v>
      </c>
      <c r="I25" s="70">
        <f t="shared" si="4"/>
        <v>-112.41666666666669</v>
      </c>
      <c r="J25" s="70">
        <f t="shared" si="4"/>
        <v>-608.58333333333326</v>
      </c>
      <c r="K25" s="70">
        <f t="shared" si="4"/>
        <v>-499</v>
      </c>
      <c r="L25" s="70">
        <f t="shared" si="4"/>
        <v>0</v>
      </c>
    </row>
    <row r="26" spans="1:12" x14ac:dyDescent="0.35"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35">
      <c r="A27" t="s">
        <v>249</v>
      </c>
      <c r="C27" s="29">
        <f t="shared" ref="C27:L27" si="5">C25+C19+C14</f>
        <v>-284.62426035980809</v>
      </c>
      <c r="D27" s="29">
        <f t="shared" si="5"/>
        <v>1.5232686235149586</v>
      </c>
      <c r="E27" s="29">
        <f t="shared" si="5"/>
        <v>4.7344121892958313</v>
      </c>
      <c r="F27" s="29">
        <f t="shared" si="5"/>
        <v>-1.8547418262644157</v>
      </c>
      <c r="G27" s="29">
        <f t="shared" si="5"/>
        <v>0.79247604981856057</v>
      </c>
      <c r="H27" s="29">
        <f t="shared" si="5"/>
        <v>-2.2915267865922146</v>
      </c>
      <c r="I27" s="29">
        <f t="shared" si="5"/>
        <v>2.990767252168439</v>
      </c>
      <c r="J27" s="29">
        <f t="shared" si="5"/>
        <v>-7.5818335159116259</v>
      </c>
      <c r="K27" s="29">
        <f t="shared" si="5"/>
        <v>207.93572277868276</v>
      </c>
      <c r="L27" s="29">
        <f t="shared" si="5"/>
        <v>741.48074694708203</v>
      </c>
    </row>
    <row r="28" spans="1:12" x14ac:dyDescent="0.35">
      <c r="A28" t="s">
        <v>250</v>
      </c>
      <c r="C28" s="29">
        <f>Historical!G39/10^7</f>
        <v>286.82727640299998</v>
      </c>
      <c r="D28" s="29">
        <f t="shared" ref="D28:L28" si="6">C29</f>
        <v>2.2030160431918944</v>
      </c>
      <c r="E28" s="29">
        <f t="shared" si="6"/>
        <v>3.726284666706853</v>
      </c>
      <c r="F28" s="29">
        <f t="shared" si="6"/>
        <v>8.4606968560026843</v>
      </c>
      <c r="G28" s="29">
        <f t="shared" si="6"/>
        <v>6.6059550297382685</v>
      </c>
      <c r="H28" s="29">
        <f t="shared" si="6"/>
        <v>7.3984310795568291</v>
      </c>
      <c r="I28" s="29">
        <f t="shared" si="6"/>
        <v>5.1069042929646145</v>
      </c>
      <c r="J28" s="29">
        <f t="shared" si="6"/>
        <v>8.0976715451330534</v>
      </c>
      <c r="K28" s="29">
        <f t="shared" si="6"/>
        <v>0.51583802922142752</v>
      </c>
      <c r="L28" s="29">
        <f t="shared" si="6"/>
        <v>208.45156080790417</v>
      </c>
    </row>
    <row r="29" spans="1:12" x14ac:dyDescent="0.35">
      <c r="A29" s="12" t="s">
        <v>240</v>
      </c>
      <c r="B29" s="12"/>
      <c r="C29" s="189">
        <f t="shared" ref="C29:L29" si="7">C27+C28</f>
        <v>2.2030160431918944</v>
      </c>
      <c r="D29" s="189">
        <f t="shared" si="7"/>
        <v>3.726284666706853</v>
      </c>
      <c r="E29" s="189">
        <f t="shared" si="7"/>
        <v>8.4606968560026843</v>
      </c>
      <c r="F29" s="189">
        <f t="shared" si="7"/>
        <v>6.6059550297382685</v>
      </c>
      <c r="G29" s="189">
        <f t="shared" si="7"/>
        <v>7.3984310795568291</v>
      </c>
      <c r="H29" s="189">
        <f t="shared" si="7"/>
        <v>5.1069042929646145</v>
      </c>
      <c r="I29" s="189">
        <f t="shared" si="7"/>
        <v>8.0976715451330534</v>
      </c>
      <c r="J29" s="189">
        <f t="shared" si="7"/>
        <v>0.51583802922142752</v>
      </c>
      <c r="K29" s="189">
        <f t="shared" si="7"/>
        <v>208.45156080790417</v>
      </c>
      <c r="L29" s="189">
        <f t="shared" si="7"/>
        <v>949.93230775498614</v>
      </c>
    </row>
    <row r="30" spans="1:12" x14ac:dyDescent="0.35"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35"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35">
      <c r="A32" s="27" t="s">
        <v>253</v>
      </c>
      <c r="B32" s="25"/>
      <c r="C32" s="215"/>
      <c r="D32" s="215"/>
      <c r="E32" s="215"/>
      <c r="F32" s="215"/>
      <c r="G32" s="215"/>
      <c r="H32" s="215"/>
      <c r="I32" s="215"/>
      <c r="J32" s="215"/>
      <c r="K32" s="215"/>
      <c r="L32" s="215"/>
    </row>
    <row r="33" spans="1:14" x14ac:dyDescent="0.35">
      <c r="A33" s="87" t="s">
        <v>74</v>
      </c>
      <c r="C33" s="29">
        <v>0</v>
      </c>
      <c r="D33" s="29">
        <f t="shared" ref="D33:L33" si="8">C65</f>
        <v>100</v>
      </c>
      <c r="E33" s="29">
        <f t="shared" si="8"/>
        <v>220</v>
      </c>
      <c r="F33" s="29">
        <f t="shared" si="8"/>
        <v>551</v>
      </c>
      <c r="G33" s="29">
        <f t="shared" si="8"/>
        <v>894</v>
      </c>
      <c r="H33" s="29">
        <f t="shared" si="8"/>
        <v>1086.5</v>
      </c>
      <c r="I33" s="29">
        <f t="shared" si="8"/>
        <v>1220</v>
      </c>
      <c r="J33" s="29">
        <f t="shared" si="8"/>
        <v>1107.5833333333333</v>
      </c>
      <c r="K33" s="29">
        <f t="shared" si="8"/>
        <v>499</v>
      </c>
      <c r="L33" s="29">
        <f t="shared" si="8"/>
        <v>0</v>
      </c>
    </row>
    <row r="34" spans="1:14" x14ac:dyDescent="0.35">
      <c r="A34" t="s">
        <v>254</v>
      </c>
      <c r="C34" s="29">
        <f>B37</f>
        <v>100</v>
      </c>
      <c r="D34" s="29">
        <f>SUM(B39:B42)</f>
        <v>120</v>
      </c>
      <c r="E34" s="29">
        <f>SUM(B43:B46)</f>
        <v>336</v>
      </c>
      <c r="F34" s="29">
        <f>SUM(B47:B50)</f>
        <v>372</v>
      </c>
      <c r="G34" s="29">
        <f>SUM(B51:B54)</f>
        <v>268</v>
      </c>
      <c r="H34" s="29">
        <f>SUM(B55:B58)</f>
        <v>308</v>
      </c>
      <c r="I34" s="29">
        <f>SUM(B59:B62)</f>
        <v>192</v>
      </c>
      <c r="J34" s="29">
        <f>SUM(C59:C62)</f>
        <v>0</v>
      </c>
      <c r="K34" s="29">
        <f>SUM(D59:D62)</f>
        <v>0</v>
      </c>
      <c r="L34" s="29"/>
    </row>
    <row r="35" spans="1:14" x14ac:dyDescent="0.35">
      <c r="A35" t="s">
        <v>255</v>
      </c>
      <c r="C35" s="29">
        <f>SUM(C37:C55)</f>
        <v>0</v>
      </c>
      <c r="D35" s="29">
        <f>SUM(D37:D55)</f>
        <v>0</v>
      </c>
      <c r="E35" s="29">
        <f t="shared" ref="E35:L35" si="9">SUM(E37:E62)</f>
        <v>5</v>
      </c>
      <c r="F35" s="29">
        <f t="shared" si="9"/>
        <v>29</v>
      </c>
      <c r="G35" s="29">
        <f t="shared" si="9"/>
        <v>75.5</v>
      </c>
      <c r="H35" s="29">
        <f t="shared" si="9"/>
        <v>174.5</v>
      </c>
      <c r="I35" s="29">
        <f t="shared" si="9"/>
        <v>304.41666666666669</v>
      </c>
      <c r="J35" s="29">
        <f t="shared" si="9"/>
        <v>608.58333333333326</v>
      </c>
      <c r="K35" s="29">
        <f t="shared" si="9"/>
        <v>499</v>
      </c>
      <c r="L35" s="29">
        <f t="shared" si="9"/>
        <v>0</v>
      </c>
    </row>
    <row r="36" spans="1:14" x14ac:dyDescent="0.35">
      <c r="A36" t="s">
        <v>256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166" t="s">
        <v>257</v>
      </c>
      <c r="N36" s="167" t="s">
        <v>258</v>
      </c>
    </row>
    <row r="37" spans="1:14" x14ac:dyDescent="0.35">
      <c r="A37" s="93">
        <v>44561</v>
      </c>
      <c r="B37" s="7">
        <v>100</v>
      </c>
      <c r="C37" s="29">
        <f>MIN(IF(ROUNDDOWN(('Balance Sheet'!D$3-$A37)/30,0)&lt;=24,0,((ROUNDDOWN(('Balance Sheet'!D$3-$A37)/30,0)-24)/60))*$B37,$B37)</f>
        <v>0</v>
      </c>
      <c r="D37" s="29">
        <f>MIN(IF(ROUNDDOWN(('Balance Sheet'!E$3-$A37)/30,0)&lt;='Cash Flow'!$M37,0,((ROUNDDOWN(('Balance Sheet'!E$3-$A37)/30,0)-'Cash Flow'!$M37)/'Cash Flow'!$N37))*$B37,$B37)-SUM($C37:C37)</f>
        <v>0</v>
      </c>
      <c r="E37" s="29">
        <f>MIN(IF(ROUNDDOWN(('Balance Sheet'!F$3-$A37)/30,0)&lt;='Cash Flow'!$M37,0,((ROUNDDOWN(('Balance Sheet'!F$3-$A37)/30,0)-'Cash Flow'!$M37)/'Cash Flow'!$N37))*$B37,$B37)-SUM($C37:D37)</f>
        <v>5</v>
      </c>
      <c r="F37" s="29">
        <f>MIN(IF(ROUNDDOWN(('Balance Sheet'!G$3-$A37)/30,0)&lt;='Cash Flow'!$M37,0,((ROUNDDOWN(('Balance Sheet'!G$3-$A37)/30,0)-'Cash Flow'!$M37)/'Cash Flow'!$N37))*$B37,$B37)-SUM($C37:E37)</f>
        <v>20</v>
      </c>
      <c r="G37" s="29">
        <f>MIN(IF(ROUNDDOWN(('Balance Sheet'!H$3-$A37)/30,0)&lt;='Cash Flow'!$M37,0,((ROUNDDOWN(('Balance Sheet'!H$3-$A37)/30,0)-'Cash Flow'!$M37)/'Cash Flow'!$N37))*$B37,$B37)-SUM($C37:F37)</f>
        <v>20</v>
      </c>
      <c r="H37" s="29">
        <f>MIN(IF(ROUNDDOWN(('Balance Sheet'!I$3-$A37)/30,0)&lt;='Cash Flow'!$M37,0,((ROUNDDOWN(('Balance Sheet'!I$3-$A37)/30,0)-'Cash Flow'!$M37)/'Cash Flow'!$N37))*$B37,$B37)-SUM($C37:G37)</f>
        <v>20</v>
      </c>
      <c r="I37" s="29">
        <f>MIN(IF(ROUNDDOWN(('Balance Sheet'!J$3-$A37)/30,0)&lt;='Cash Flow'!$M37,0,((ROUNDDOWN(('Balance Sheet'!J$3-$A37)/30,0)-'Cash Flow'!$M37)/'Cash Flow'!$N37))*$B37,$B37)-SUM($C37:H37)</f>
        <v>21.666666666666671</v>
      </c>
      <c r="J37" s="29">
        <f>MIN(IF(ROUNDDOWN(('Balance Sheet'!K$3-$A37)/30,0)&lt;='Cash Flow'!$M37,0,((ROUNDDOWN(('Balance Sheet'!K$3-$A37)/30,0)-'Cash Flow'!$M37)/'Cash Flow'!$N37))*$B37,$B37)-SUM($C37:I37)</f>
        <v>13.333333333333329</v>
      </c>
      <c r="K37" s="29">
        <f>MIN(IF(ROUNDDOWN(('Balance Sheet'!L$3-$A37)/30,0)&lt;='Cash Flow'!$M37,0,((ROUNDDOWN(('Balance Sheet'!L$3-$A37)/30,0)-'Cash Flow'!$M37)/'Cash Flow'!$N37))*$B37,$B37)-SUM($C37:J37)</f>
        <v>0</v>
      </c>
      <c r="L37" s="29">
        <f>MIN(IF(ROUNDDOWN(('Balance Sheet'!M$3-$A37)/30,0)&lt;='Cash Flow'!$M37,0,((ROUNDDOWN(('Balance Sheet'!M$3-$A37)/30,0)-'Cash Flow'!$M37)/'Cash Flow'!$N37))*$B37,$B37)-SUM($C37:K37)</f>
        <v>0</v>
      </c>
      <c r="M37" s="168">
        <v>24</v>
      </c>
      <c r="N37" s="169">
        <v>60</v>
      </c>
    </row>
    <row r="38" spans="1:14" x14ac:dyDescent="0.35">
      <c r="A38" s="93">
        <v>44651</v>
      </c>
      <c r="B38" s="7">
        <v>0</v>
      </c>
      <c r="C38" s="29"/>
      <c r="D38" s="29">
        <f>MIN(IF(ROUNDDOWN(('Balance Sheet'!E$3-$A38)/30,0)&lt;='Cash Flow'!$M38,0,((ROUNDDOWN(('Balance Sheet'!E$3-$A38)/30,0)-'Cash Flow'!$M38)/'Cash Flow'!$N38))*$B38,$B38)-SUM($C38:C38)</f>
        <v>0</v>
      </c>
      <c r="E38" s="29">
        <f>MIN(IF(ROUNDDOWN(('Balance Sheet'!F$3-$A38)/30,0)&lt;='Cash Flow'!$M38,0,((ROUNDDOWN(('Balance Sheet'!F$3-$A38)/30,0)-'Cash Flow'!$M38)/'Cash Flow'!$N38))*$B38,$B38)-SUM($C38:D38)</f>
        <v>0</v>
      </c>
      <c r="F38" s="29">
        <f>MIN(IF(ROUNDDOWN(('Balance Sheet'!G$3-$A38)/30,0)&lt;='Cash Flow'!$M38,0,((ROUNDDOWN(('Balance Sheet'!G$3-$A38)/30,0)-'Cash Flow'!$M38)/'Cash Flow'!$N38))*$B38,$B38)-SUM($C38:E38)</f>
        <v>0</v>
      </c>
      <c r="G38" s="29">
        <f>MIN(IF(ROUNDDOWN(('Balance Sheet'!H$3-$A38)/30,0)&lt;='Cash Flow'!$M38,0,((ROUNDDOWN(('Balance Sheet'!H$3-$A38)/30,0)-'Cash Flow'!$M38)/'Cash Flow'!$N38))*$B38,$B38)-SUM($C38:F38)</f>
        <v>0</v>
      </c>
      <c r="H38" s="29">
        <f>MIN(IF(ROUNDDOWN(('Balance Sheet'!I$3-$A38)/30,0)&lt;='Cash Flow'!$M38,0,((ROUNDDOWN(('Balance Sheet'!I$3-$A38)/30,0)-'Cash Flow'!$M38)/'Cash Flow'!$N38))*$B38,$B38)-SUM($C38:G38)</f>
        <v>0</v>
      </c>
      <c r="I38" s="29">
        <f>MIN(IF(ROUNDDOWN(('Balance Sheet'!J$3-$A38)/30,0)&lt;='Cash Flow'!$M38,0,((ROUNDDOWN(('Balance Sheet'!J$3-$A38)/30,0)-'Cash Flow'!$M38)/'Cash Flow'!$N38))*$B38,$B38)-SUM($C38:H38)</f>
        <v>0</v>
      </c>
      <c r="J38" s="29">
        <f>MIN(IF(ROUNDDOWN(('Balance Sheet'!K$3-$A38)/30,0)&lt;='Cash Flow'!$M38,0,((ROUNDDOWN(('Balance Sheet'!K$3-$A38)/30,0)-'Cash Flow'!$M38)/'Cash Flow'!$N38))*$B38,$B38)-SUM($C38:I38)</f>
        <v>0</v>
      </c>
      <c r="K38" s="29">
        <f>MIN(IF(ROUNDDOWN(('Balance Sheet'!L$3-$A38)/30,0)&lt;='Cash Flow'!$M38,0,((ROUNDDOWN(('Balance Sheet'!L$3-$A38)/30,0)-'Cash Flow'!$M38)/'Cash Flow'!$N38))*$B38,$B38)-SUM($C38:J38)</f>
        <v>0</v>
      </c>
      <c r="L38" s="29">
        <f>MIN(IF(ROUNDDOWN(('Balance Sheet'!M$3-$A38)/30,0)&lt;='Cash Flow'!$M38,0,((ROUNDDOWN(('Balance Sheet'!M$3-$A38)/30,0)-'Cash Flow'!$M38)/'Cash Flow'!$N38))*$B38,$B38)-SUM($C38:K38)</f>
        <v>0</v>
      </c>
      <c r="M38" s="168">
        <v>24</v>
      </c>
      <c r="N38" s="169">
        <v>60</v>
      </c>
    </row>
    <row r="39" spans="1:14" x14ac:dyDescent="0.35">
      <c r="A39" s="93">
        <v>44742</v>
      </c>
      <c r="B39" s="7">
        <v>30</v>
      </c>
      <c r="C39" s="29">
        <f>MIN(IF(ROUNDDOWN(('Balance Sheet'!D$3-$A39)/30,0)&lt;=24,0,((ROUNDDOWN(('Balance Sheet'!D$3-$A39)/30,0)-24)/60))*$B39,$B39)</f>
        <v>0</v>
      </c>
      <c r="D39" s="29">
        <f>MIN(IF(ROUNDDOWN(('Balance Sheet'!E$3-$A39)/30,0)&lt;='Cash Flow'!$M39,0,((ROUNDDOWN(('Balance Sheet'!E$3-$A39)/30,0)-'Cash Flow'!$M39)/'Cash Flow'!$N39))*$B39,$B39)-SUM($C39:C39)</f>
        <v>0</v>
      </c>
      <c r="E39" s="29">
        <f>MIN(IF(ROUNDDOWN(('Balance Sheet'!F$3-$A39)/30,0)&lt;='Cash Flow'!$M39,0,((ROUNDDOWN(('Balance Sheet'!F$3-$A39)/30,0)-'Cash Flow'!$M39)/'Cash Flow'!$N39))*$B39,$B39)-SUM($C39:D39)</f>
        <v>0</v>
      </c>
      <c r="F39" s="29">
        <f>MIN(IF(ROUNDDOWN(('Balance Sheet'!G$3-$A39)/30,0)&lt;='Cash Flow'!$M39,0,((ROUNDDOWN(('Balance Sheet'!G$3-$A39)/30,0)-'Cash Flow'!$M39)/'Cash Flow'!$N39))*$B39,$B39)-SUM($C39:E39)</f>
        <v>4.5</v>
      </c>
      <c r="G39" s="29">
        <f>MIN(IF(ROUNDDOWN(('Balance Sheet'!H$3-$A39)/30,0)&lt;='Cash Flow'!$M39,0,((ROUNDDOWN(('Balance Sheet'!H$3-$A39)/30,0)-'Cash Flow'!$M39)/'Cash Flow'!$N39))*$B39,$B39)-SUM($C39:F39)</f>
        <v>6</v>
      </c>
      <c r="H39" s="29">
        <f>MIN(IF(ROUNDDOWN(('Balance Sheet'!I$3-$A39)/30,0)&lt;='Cash Flow'!$M39,0,((ROUNDDOWN(('Balance Sheet'!I$3-$A39)/30,0)-'Cash Flow'!$M39)/'Cash Flow'!$N39))*$B39,$B39)-SUM($C39:G39)</f>
        <v>6</v>
      </c>
      <c r="I39" s="29">
        <f>MIN(IF(ROUNDDOWN(('Balance Sheet'!J$3-$A39)/30,0)&lt;='Cash Flow'!$M39,0,((ROUNDDOWN(('Balance Sheet'!J$3-$A39)/30,0)-'Cash Flow'!$M39)/'Cash Flow'!$N39))*$B39,$B39)-SUM($C39:H39)</f>
        <v>6.5</v>
      </c>
      <c r="J39" s="29">
        <f>MIN(IF(ROUNDDOWN(('Balance Sheet'!K$3-$A39)/30,0)&lt;='Cash Flow'!$M39,0,((ROUNDDOWN(('Balance Sheet'!K$3-$A39)/30,0)-'Cash Flow'!$M39)/'Cash Flow'!$N39))*$B39,$B39)-SUM($C39:I39)</f>
        <v>6</v>
      </c>
      <c r="K39" s="29">
        <f>MIN(IF(ROUNDDOWN(('Balance Sheet'!L$3-$A39)/30,0)&lt;='Cash Flow'!$M39,0,((ROUNDDOWN(('Balance Sheet'!L$3-$A39)/30,0)-'Cash Flow'!$M39)/'Cash Flow'!$N39))*$B39,$B39)-SUM($C39:J39)</f>
        <v>1</v>
      </c>
      <c r="L39" s="29">
        <f>MIN(IF(ROUNDDOWN(('Balance Sheet'!M$3-$A39)/30,0)&lt;='Cash Flow'!$M39,0,((ROUNDDOWN(('Balance Sheet'!M$3-$A39)/30,0)-'Cash Flow'!$M39)/'Cash Flow'!$N39))*$B39,$B39)-SUM($C39:K39)</f>
        <v>0</v>
      </c>
      <c r="M39" s="168">
        <v>24</v>
      </c>
      <c r="N39" s="169">
        <v>60</v>
      </c>
    </row>
    <row r="40" spans="1:14" x14ac:dyDescent="0.35">
      <c r="A40" s="93">
        <v>44834</v>
      </c>
      <c r="B40" s="7">
        <v>30</v>
      </c>
      <c r="C40" s="29">
        <f>MIN(IF(ROUNDDOWN(('Balance Sheet'!D$3-$A40)/30,0)&lt;=24,0,((ROUNDDOWN(('Balance Sheet'!D$3-$A40)/30,0)-24)/60))*$B40,$B40)</f>
        <v>0</v>
      </c>
      <c r="D40" s="29">
        <f>MIN(IF(ROUNDDOWN(('Balance Sheet'!E$3-$A40)/30,0)&lt;='Cash Flow'!$M40,0,((ROUNDDOWN(('Balance Sheet'!E$3-$A40)/30,0)-'Cash Flow'!$M40)/'Cash Flow'!$N40))*$B40,$B40)-SUM($C40:C40)</f>
        <v>0</v>
      </c>
      <c r="E40" s="29">
        <f>MIN(IF(ROUNDDOWN(('Balance Sheet'!F$3-$A40)/30,0)&lt;='Cash Flow'!$M40,0,((ROUNDDOWN(('Balance Sheet'!F$3-$A40)/30,0)-'Cash Flow'!$M40)/'Cash Flow'!$N40))*$B40,$B40)-SUM($C40:D40)</f>
        <v>0</v>
      </c>
      <c r="F40" s="29">
        <f>MIN(IF(ROUNDDOWN(('Balance Sheet'!G$3-$A40)/30,0)&lt;='Cash Flow'!$M40,0,((ROUNDDOWN(('Balance Sheet'!G$3-$A40)/30,0)-'Cash Flow'!$M40)/'Cash Flow'!$N40))*$B40,$B40)-SUM($C40:E40)</f>
        <v>3</v>
      </c>
      <c r="G40" s="29">
        <f>MIN(IF(ROUNDDOWN(('Balance Sheet'!H$3-$A40)/30,0)&lt;='Cash Flow'!$M40,0,((ROUNDDOWN(('Balance Sheet'!H$3-$A40)/30,0)-'Cash Flow'!$M40)/'Cash Flow'!$N40))*$B40,$B40)-SUM($C40:F40)</f>
        <v>6</v>
      </c>
      <c r="H40" s="29">
        <f>MIN(IF(ROUNDDOWN(('Balance Sheet'!I$3-$A40)/30,0)&lt;='Cash Flow'!$M40,0,((ROUNDDOWN(('Balance Sheet'!I$3-$A40)/30,0)-'Cash Flow'!$M40)/'Cash Flow'!$N40))*$B40,$B40)-SUM($C40:G40)</f>
        <v>6</v>
      </c>
      <c r="I40" s="29">
        <f>MIN(IF(ROUNDDOWN(('Balance Sheet'!J$3-$A40)/30,0)&lt;='Cash Flow'!$M40,0,((ROUNDDOWN(('Balance Sheet'!J$3-$A40)/30,0)-'Cash Flow'!$M40)/'Cash Flow'!$N40))*$B40,$B40)-SUM($C40:H40)</f>
        <v>6</v>
      </c>
      <c r="J40" s="29">
        <f>MIN(IF(ROUNDDOWN(('Balance Sheet'!K$3-$A40)/30,0)&lt;='Cash Flow'!$M40,0,((ROUNDDOWN(('Balance Sheet'!K$3-$A40)/30,0)-'Cash Flow'!$M40)/'Cash Flow'!$N40))*$B40,$B40)-SUM($C40:I40)</f>
        <v>6.5</v>
      </c>
      <c r="K40" s="29">
        <f>MIN(IF(ROUNDDOWN(('Balance Sheet'!L$3-$A40)/30,0)&lt;='Cash Flow'!$M40,0,((ROUNDDOWN(('Balance Sheet'!L$3-$A40)/30,0)-'Cash Flow'!$M40)/'Cash Flow'!$N40))*$B40,$B40)-SUM($C40:J40)</f>
        <v>2.5</v>
      </c>
      <c r="L40" s="29">
        <f>MIN(IF(ROUNDDOWN(('Balance Sheet'!M$3-$A40)/30,0)&lt;='Cash Flow'!$M40,0,((ROUNDDOWN(('Balance Sheet'!M$3-$A40)/30,0)-'Cash Flow'!$M40)/'Cash Flow'!$N40))*$B40,$B40)-SUM($C40:K40)</f>
        <v>0</v>
      </c>
      <c r="M40" s="168">
        <v>24</v>
      </c>
      <c r="N40" s="169">
        <v>60</v>
      </c>
    </row>
    <row r="41" spans="1:14" x14ac:dyDescent="0.35">
      <c r="A41" s="93">
        <v>44926</v>
      </c>
      <c r="B41" s="7">
        <v>30</v>
      </c>
      <c r="C41" s="29">
        <f>MIN(IF(ROUNDDOWN(('Balance Sheet'!D$3-$A41)/30,0)&lt;=24,0,((ROUNDDOWN(('Balance Sheet'!D$3-$A41)/30,0)-24)/60))*$B41,$B41)</f>
        <v>0</v>
      </c>
      <c r="D41" s="29">
        <f>MIN(IF(ROUNDDOWN(('Balance Sheet'!E$3-$A41)/30,0)&lt;='Cash Flow'!$M41,0,((ROUNDDOWN(('Balance Sheet'!E$3-$A41)/30,0)-'Cash Flow'!$M41)/'Cash Flow'!$N41))*$B41,$B41)-SUM($C41:C41)</f>
        <v>0</v>
      </c>
      <c r="E41" s="29">
        <f>MIN(IF(ROUNDDOWN(('Balance Sheet'!F$3-$A41)/30,0)&lt;='Cash Flow'!$M41,0,((ROUNDDOWN(('Balance Sheet'!F$3-$A41)/30,0)-'Cash Flow'!$M41)/'Cash Flow'!$N41))*$B41,$B41)-SUM($C41:D41)</f>
        <v>0</v>
      </c>
      <c r="F41" s="29">
        <f>MIN(IF(ROUNDDOWN(('Balance Sheet'!G$3-$A41)/30,0)&lt;='Cash Flow'!$M41,0,((ROUNDDOWN(('Balance Sheet'!G$3-$A41)/30,0)-'Cash Flow'!$M41)/'Cash Flow'!$N41))*$B41,$B41)-SUM($C41:E41)</f>
        <v>1.5</v>
      </c>
      <c r="G41" s="29">
        <f>MIN(IF(ROUNDDOWN(('Balance Sheet'!H$3-$A41)/30,0)&lt;='Cash Flow'!$M41,0,((ROUNDDOWN(('Balance Sheet'!H$3-$A41)/30,0)-'Cash Flow'!$M41)/'Cash Flow'!$N41))*$B41,$B41)-SUM($C41:F41)</f>
        <v>6</v>
      </c>
      <c r="H41" s="29">
        <f>MIN(IF(ROUNDDOWN(('Balance Sheet'!I$3-$A41)/30,0)&lt;='Cash Flow'!$M41,0,((ROUNDDOWN(('Balance Sheet'!I$3-$A41)/30,0)-'Cash Flow'!$M41)/'Cash Flow'!$N41))*$B41,$B41)-SUM($C41:G41)</f>
        <v>6</v>
      </c>
      <c r="I41" s="29">
        <f>MIN(IF(ROUNDDOWN(('Balance Sheet'!J$3-$A41)/30,0)&lt;='Cash Flow'!$M41,0,((ROUNDDOWN(('Balance Sheet'!J$3-$A41)/30,0)-'Cash Flow'!$M41)/'Cash Flow'!$N41))*$B41,$B41)-SUM($C41:H41)</f>
        <v>6</v>
      </c>
      <c r="J41" s="29">
        <f>MIN(IF(ROUNDDOWN(('Balance Sheet'!K$3-$A41)/30,0)&lt;='Cash Flow'!$M41,0,((ROUNDDOWN(('Balance Sheet'!K$3-$A41)/30,0)-'Cash Flow'!$M41)/'Cash Flow'!$N41))*$B41,$B41)-SUM($C41:I41)</f>
        <v>6.5</v>
      </c>
      <c r="K41" s="29">
        <f>MIN(IF(ROUNDDOWN(('Balance Sheet'!L$3-$A41)/30,0)&lt;='Cash Flow'!$M41,0,((ROUNDDOWN(('Balance Sheet'!L$3-$A41)/30,0)-'Cash Flow'!$M41)/'Cash Flow'!$N41))*$B41,$B41)-SUM($C41:J41)</f>
        <v>4</v>
      </c>
      <c r="L41" s="29">
        <f>MIN(IF(ROUNDDOWN(('Balance Sheet'!M$3-$A41)/30,0)&lt;='Cash Flow'!$M41,0,((ROUNDDOWN(('Balance Sheet'!M$3-$A41)/30,0)-'Cash Flow'!$M41)/'Cash Flow'!$N41))*$B41,$B41)-SUM($C41:K41)</f>
        <v>0</v>
      </c>
      <c r="M41" s="168">
        <v>24</v>
      </c>
      <c r="N41" s="169">
        <v>60</v>
      </c>
    </row>
    <row r="42" spans="1:14" x14ac:dyDescent="0.35">
      <c r="A42" s="93">
        <v>45016</v>
      </c>
      <c r="B42" s="7">
        <v>30</v>
      </c>
      <c r="C42" s="29">
        <f>MIN(IF(ROUNDDOWN(('Balance Sheet'!D$3-$A42)/30,0)&lt;=24,0,((ROUNDDOWN(('Balance Sheet'!D$3-$A42)/30,0)-24)/60))*$B42,$B42)</f>
        <v>0</v>
      </c>
      <c r="D42" s="29">
        <f>MIN(IF(ROUNDDOWN(('Balance Sheet'!E$3-$A42)/30,0)&lt;='Cash Flow'!$M42,0,((ROUNDDOWN(('Balance Sheet'!E$3-$A42)/30,0)-'Cash Flow'!$M42)/'Cash Flow'!$N42))*$B42,$B42)-SUM($C42:C42)</f>
        <v>0</v>
      </c>
      <c r="E42" s="29">
        <f>MIN(IF(ROUNDDOWN(('Balance Sheet'!F$3-$A42)/30,0)&lt;='Cash Flow'!$M42,0,((ROUNDDOWN(('Balance Sheet'!F$3-$A42)/30,0)-'Cash Flow'!$M42)/'Cash Flow'!$N42))*$B42,$B42)-SUM($C42:D42)</f>
        <v>0</v>
      </c>
      <c r="F42" s="29">
        <f>MIN(IF(ROUNDDOWN(('Balance Sheet'!G$3-$A42)/30,0)&lt;='Cash Flow'!$M42,0,((ROUNDDOWN(('Balance Sheet'!G$3-$A42)/30,0)-'Cash Flow'!$M42)/'Cash Flow'!$N42))*$B42,$B42)-SUM($C42:E42)</f>
        <v>0</v>
      </c>
      <c r="G42" s="29">
        <f>MIN(IF(ROUNDDOWN(('Balance Sheet'!H$3-$A42)/30,0)&lt;='Cash Flow'!$M42,0,((ROUNDDOWN(('Balance Sheet'!H$3-$A42)/30,0)-'Cash Flow'!$M42)/'Cash Flow'!$N42))*$B42,$B42)-SUM($C42:F42)</f>
        <v>6</v>
      </c>
      <c r="H42" s="29">
        <f>MIN(IF(ROUNDDOWN(('Balance Sheet'!I$3-$A42)/30,0)&lt;='Cash Flow'!$M42,0,((ROUNDDOWN(('Balance Sheet'!I$3-$A42)/30,0)-'Cash Flow'!$M42)/'Cash Flow'!$N42))*$B42,$B42)-SUM($C42:G42)</f>
        <v>6</v>
      </c>
      <c r="I42" s="29">
        <f>MIN(IF(ROUNDDOWN(('Balance Sheet'!J$3-$A42)/30,0)&lt;='Cash Flow'!$M42,0,((ROUNDDOWN(('Balance Sheet'!J$3-$A42)/30,0)-'Cash Flow'!$M42)/'Cash Flow'!$N42))*$B42,$B42)-SUM($C42:H42)</f>
        <v>6</v>
      </c>
      <c r="J42" s="29">
        <f>MIN(IF(ROUNDDOWN(('Balance Sheet'!K$3-$A42)/30,0)&lt;='Cash Flow'!$M42,0,((ROUNDDOWN(('Balance Sheet'!K$3-$A42)/30,0)-'Cash Flow'!$M42)/'Cash Flow'!$N42))*$B42,$B42)-SUM($C42:I42)</f>
        <v>6.5</v>
      </c>
      <c r="K42" s="29">
        <f>MIN(IF(ROUNDDOWN(('Balance Sheet'!L$3-$A42)/30,0)&lt;='Cash Flow'!$M42,0,((ROUNDDOWN(('Balance Sheet'!L$3-$A42)/30,0)-'Cash Flow'!$M42)/'Cash Flow'!$N42))*$B42,$B42)-SUM($C42:J42)</f>
        <v>5.5</v>
      </c>
      <c r="L42" s="29">
        <f>MIN(IF(ROUNDDOWN(('Balance Sheet'!M$3-$A42)/30,0)&lt;='Cash Flow'!$M42,0,((ROUNDDOWN(('Balance Sheet'!M$3-$A42)/30,0)-'Cash Flow'!$M42)/'Cash Flow'!$N42))*$B42,$B42)-SUM($C42:K42)</f>
        <v>0</v>
      </c>
      <c r="M42" s="168">
        <v>24</v>
      </c>
      <c r="N42" s="169">
        <v>60</v>
      </c>
    </row>
    <row r="43" spans="1:14" x14ac:dyDescent="0.35">
      <c r="A43" s="93">
        <f>EOMONTH(A40,9)</f>
        <v>45107</v>
      </c>
      <c r="B43" s="7">
        <v>84</v>
      </c>
      <c r="C43" s="29">
        <f>MIN(IF(ROUNDDOWN(('Balance Sheet'!D$3-$A43)/30,0)&lt;=24,0,((ROUNDDOWN(('Balance Sheet'!D$3-$A43)/30,0)-24)/60))*$B43,$B43)</f>
        <v>0</v>
      </c>
      <c r="D43" s="29">
        <f>MIN(IF(ROUNDDOWN(('Balance Sheet'!E$3-$A43)/30,0)&lt;='Cash Flow'!$M43,0,((ROUNDDOWN(('Balance Sheet'!E$3-$A43)/30,0)-'Cash Flow'!$M43)/'Cash Flow'!$N43))*$B43,$B43)-SUM($C43:C43)</f>
        <v>0</v>
      </c>
      <c r="E43" s="29">
        <f>MIN(IF(ROUNDDOWN(('Balance Sheet'!F$3-$A43)/30,0)&lt;='Cash Flow'!$M43,0,((ROUNDDOWN(('Balance Sheet'!F$3-$A43)/30,0)-'Cash Flow'!$M43)/'Cash Flow'!$N43))*$B43,$B43)-SUM($C43:D43)</f>
        <v>0</v>
      </c>
      <c r="F43" s="29">
        <f>MIN(IF(ROUNDDOWN(('Balance Sheet'!G$3-$A43)/30,0)&lt;='Cash Flow'!$M43,0,((ROUNDDOWN(('Balance Sheet'!G$3-$A43)/30,0)-'Cash Flow'!$M43)/'Cash Flow'!$N43))*$B43,$B43)-SUM($C43:E43)</f>
        <v>0</v>
      </c>
      <c r="G43" s="29">
        <f>MIN(IF(ROUNDDOWN(('Balance Sheet'!H$3-$A43)/30,0)&lt;='Cash Flow'!$M43,0,((ROUNDDOWN(('Balance Sheet'!H$3-$A43)/30,0)-'Cash Flow'!$M43)/'Cash Flow'!$N43))*$B43,$B43)-SUM($C43:F43)</f>
        <v>15.75</v>
      </c>
      <c r="H43" s="29">
        <f>MIN(IF(ROUNDDOWN(('Balance Sheet'!I$3-$A43)/30,0)&lt;='Cash Flow'!$M43,0,((ROUNDDOWN(('Balance Sheet'!I$3-$A43)/30,0)-'Cash Flow'!$M43)/'Cash Flow'!$N43))*$B43,$B43)-SUM($C43:G43)</f>
        <v>21</v>
      </c>
      <c r="I43" s="29">
        <f>MIN(IF(ROUNDDOWN(('Balance Sheet'!J$3-$A43)/30,0)&lt;='Cash Flow'!$M43,0,((ROUNDDOWN(('Balance Sheet'!J$3-$A43)/30,0)-'Cash Flow'!$M43)/'Cash Flow'!$N43))*$B43,$B43)-SUM($C43:H43)</f>
        <v>21</v>
      </c>
      <c r="J43" s="29">
        <f>(MIN(IF(ROUNDDOWN(('Balance Sheet'!K$3-$A43)/30,0)&lt;='Cash Flow'!$M43,0,((ROUNDDOWN(('Balance Sheet'!K$3-$A43)/30,0)-'Cash Flow'!$M43)/'Cash Flow'!$N43))*$B43,$B43)-SUM($C43:I43))</f>
        <v>22.75</v>
      </c>
      <c r="K43" s="29">
        <f>MIN(IF(ROUNDDOWN(('Balance Sheet'!L$3-$A43)/30,0)&lt;='Cash Flow'!$M43,0,((ROUNDDOWN(('Balance Sheet'!L$3-$A43)/30,0)-'Cash Flow'!$M43)/'Cash Flow'!$N43))*$B43,$B43)-SUM($C43:J43)</f>
        <v>3.5</v>
      </c>
      <c r="L43" s="29">
        <f>MIN(IF(ROUNDDOWN(('Balance Sheet'!M$3-$A43)/30,0)&lt;='Cash Flow'!$M43,0,((ROUNDDOWN(('Balance Sheet'!M$3-$A43)/30,0)-'Cash Flow'!$M43)/'Cash Flow'!$N43))*$B43,$B43)-SUM($C43:K43)</f>
        <v>0</v>
      </c>
      <c r="M43" s="168">
        <v>24</v>
      </c>
      <c r="N43" s="169">
        <v>48</v>
      </c>
    </row>
    <row r="44" spans="1:14" x14ac:dyDescent="0.35">
      <c r="A44" s="93">
        <f t="shared" ref="A44:A62" si="10">EOMONTH(A43,3)</f>
        <v>45199</v>
      </c>
      <c r="B44" s="7">
        <v>84</v>
      </c>
      <c r="C44" s="29">
        <f>MIN(IF(ROUNDDOWN(('Balance Sheet'!D$3-$A44)/30,0)&lt;=24,0,((ROUNDDOWN(('Balance Sheet'!D$3-$A44)/30,0)-24)/60))*$B44,$B44)</f>
        <v>0</v>
      </c>
      <c r="D44" s="29">
        <f>MIN(IF(ROUNDDOWN(('Balance Sheet'!E$3-$A44)/30,0)&lt;='Cash Flow'!$M44,0,((ROUNDDOWN(('Balance Sheet'!E$3-$A44)/30,0)-'Cash Flow'!$M44)/'Cash Flow'!$N44))*$B44,$B44)-SUM($C44:C44)</f>
        <v>0</v>
      </c>
      <c r="E44" s="29">
        <f>MIN(IF(ROUNDDOWN(('Balance Sheet'!F$3-$A44)/30,0)&lt;='Cash Flow'!$M44,0,((ROUNDDOWN(('Balance Sheet'!F$3-$A44)/30,0)-'Cash Flow'!$M44)/'Cash Flow'!$N44))*$B44,$B44)-SUM($C44:D44)</f>
        <v>0</v>
      </c>
      <c r="F44" s="29">
        <f>MIN(IF(ROUNDDOWN(('Balance Sheet'!G$3-$A44)/30,0)&lt;='Cash Flow'!$M44,0,((ROUNDDOWN(('Balance Sheet'!G$3-$A44)/30,0)-'Cash Flow'!$M44)/'Cash Flow'!$N44))*$B44,$B44)-SUM($C44:E44)</f>
        <v>0</v>
      </c>
      <c r="G44" s="29">
        <f>MIN(IF(ROUNDDOWN(('Balance Sheet'!H$3-$A44)/30,0)&lt;='Cash Flow'!$M44,0,((ROUNDDOWN(('Balance Sheet'!H$3-$A44)/30,0)-'Cash Flow'!$M44)/'Cash Flow'!$N44))*$B44,$B44)-SUM($C44:F44)</f>
        <v>10.5</v>
      </c>
      <c r="H44" s="29">
        <f>MIN(IF(ROUNDDOWN(('Balance Sheet'!I$3-$A44)/30,0)&lt;='Cash Flow'!$M44,0,((ROUNDDOWN(('Balance Sheet'!I$3-$A44)/30,0)-'Cash Flow'!$M44)/'Cash Flow'!$N44))*$B44,$B44)-SUM($C44:G44)</f>
        <v>21</v>
      </c>
      <c r="I44" s="29">
        <f>MIN(IF(ROUNDDOWN(('Balance Sheet'!J$3-$A44)/30,0)&lt;='Cash Flow'!$M44,0,((ROUNDDOWN(('Balance Sheet'!J$3-$A44)/30,0)-'Cash Flow'!$M44)/'Cash Flow'!$N44))*$B44,$B44)-SUM($C44:H44)</f>
        <v>21</v>
      </c>
      <c r="J44" s="29">
        <f>(MIN(IF(ROUNDDOWN(('Balance Sheet'!K$3-$A44)/30,0)&lt;='Cash Flow'!$M44,0,((ROUNDDOWN(('Balance Sheet'!K$3-$A44)/30,0)-'Cash Flow'!$M44)/'Cash Flow'!$N44))*$B44,$B44)-SUM($C44:I44))</f>
        <v>21</v>
      </c>
      <c r="K44" s="29">
        <f>MIN(IF(ROUNDDOWN(('Balance Sheet'!L$3-$A44)/30,0)&lt;='Cash Flow'!$M44,0,((ROUNDDOWN(('Balance Sheet'!L$3-$A44)/30,0)-'Cash Flow'!$M44)/'Cash Flow'!$N44))*$B44,$B44)-SUM($C44:J44)</f>
        <v>10.5</v>
      </c>
      <c r="L44" s="29">
        <f>MIN(IF(ROUNDDOWN(('Balance Sheet'!M$3-$A44)/30,0)&lt;='Cash Flow'!$M44,0,((ROUNDDOWN(('Balance Sheet'!M$3-$A44)/30,0)-'Cash Flow'!$M44)/'Cash Flow'!$N44))*$B44,$B44)-SUM($C44:K44)</f>
        <v>0</v>
      </c>
      <c r="M44" s="168">
        <v>24</v>
      </c>
      <c r="N44" s="169">
        <v>48</v>
      </c>
    </row>
    <row r="45" spans="1:14" x14ac:dyDescent="0.35">
      <c r="A45" s="93">
        <f t="shared" si="10"/>
        <v>45291</v>
      </c>
      <c r="B45" s="7">
        <v>84</v>
      </c>
      <c r="C45" s="29">
        <f>MIN(IF(ROUNDDOWN(('Balance Sheet'!D$3-$A45)/30,0)&lt;=24,0,((ROUNDDOWN(('Balance Sheet'!D$3-$A45)/30,0)-24)/60))*$B45,$B45)</f>
        <v>0</v>
      </c>
      <c r="D45" s="29">
        <f>MIN(IF(ROUNDDOWN(('Balance Sheet'!E$3-$A45)/30,0)&lt;='Cash Flow'!$M45,0,((ROUNDDOWN(('Balance Sheet'!E$3-$A45)/30,0)-'Cash Flow'!$M45)/'Cash Flow'!$N45))*$B45,$B45)-SUM($C45:C45)</f>
        <v>0</v>
      </c>
      <c r="E45" s="29">
        <f>MIN(IF(ROUNDDOWN(('Balance Sheet'!F$3-$A45)/30,0)&lt;='Cash Flow'!$M45,0,((ROUNDDOWN(('Balance Sheet'!F$3-$A45)/30,0)-'Cash Flow'!$M45)/'Cash Flow'!$N45))*$B45,$B45)-SUM($C45:D45)</f>
        <v>0</v>
      </c>
      <c r="F45" s="29">
        <f>MIN(IF(ROUNDDOWN(('Balance Sheet'!G$3-$A45)/30,0)&lt;='Cash Flow'!$M45,0,((ROUNDDOWN(('Balance Sheet'!G$3-$A45)/30,0)-'Cash Flow'!$M45)/'Cash Flow'!$N45))*$B45,$B45)-SUM($C45:E45)</f>
        <v>0</v>
      </c>
      <c r="G45" s="29">
        <f>MIN(IF(ROUNDDOWN(('Balance Sheet'!H$3-$A45)/30,0)&lt;='Cash Flow'!$M45,0,((ROUNDDOWN(('Balance Sheet'!H$3-$A45)/30,0)-'Cash Flow'!$M45)/'Cash Flow'!$N45))*$B45,$B45)-SUM($C45:F45)</f>
        <v>5.25</v>
      </c>
      <c r="H45" s="29">
        <f>MIN(IF(ROUNDDOWN(('Balance Sheet'!I$3-$A45)/30,0)&lt;='Cash Flow'!$M45,0,((ROUNDDOWN(('Balance Sheet'!I$3-$A45)/30,0)-'Cash Flow'!$M45)/'Cash Flow'!$N45))*$B45,$B45)-SUM($C45:G45)</f>
        <v>21</v>
      </c>
      <c r="I45" s="29">
        <f>MIN(IF(ROUNDDOWN(('Balance Sheet'!J$3-$A45)/30,0)&lt;='Cash Flow'!$M45,0,((ROUNDDOWN(('Balance Sheet'!J$3-$A45)/30,0)-'Cash Flow'!$M45)/'Cash Flow'!$N45))*$B45,$B45)-SUM($C45:H45)</f>
        <v>21</v>
      </c>
      <c r="J45" s="29">
        <f>(MIN(IF(ROUNDDOWN(('Balance Sheet'!K$3-$A45)/30,0)&lt;='Cash Flow'!$M45,0,((ROUNDDOWN(('Balance Sheet'!K$3-$A45)/30,0)-'Cash Flow'!$M45)/'Cash Flow'!$N45))*$B45,$B45)-SUM($C45:I45))</f>
        <v>21</v>
      </c>
      <c r="K45" s="29">
        <f>MIN(IF(ROUNDDOWN(('Balance Sheet'!L$3-$A45)/30,0)&lt;='Cash Flow'!$M45,0,((ROUNDDOWN(('Balance Sheet'!L$3-$A45)/30,0)-'Cash Flow'!$M45)/'Cash Flow'!$N45))*$B45,$B45)-SUM($C45:J45)</f>
        <v>15.75</v>
      </c>
      <c r="L45" s="29">
        <f>MIN(IF(ROUNDDOWN(('Balance Sheet'!M$3-$A45)/30,0)&lt;='Cash Flow'!$M45,0,((ROUNDDOWN(('Balance Sheet'!M$3-$A45)/30,0)-'Cash Flow'!$M45)/'Cash Flow'!$N45))*$B45,$B45)-SUM($C45:K45)</f>
        <v>0</v>
      </c>
      <c r="M45" s="168">
        <v>24</v>
      </c>
      <c r="N45" s="169">
        <v>48</v>
      </c>
    </row>
    <row r="46" spans="1:14" x14ac:dyDescent="0.35">
      <c r="A46" s="93">
        <f t="shared" si="10"/>
        <v>45382</v>
      </c>
      <c r="B46" s="7">
        <v>84</v>
      </c>
      <c r="C46" s="29">
        <f>MIN(IF(ROUNDDOWN(('Balance Sheet'!D$3-$A46)/30,0)&lt;=24,0,((ROUNDDOWN(('Balance Sheet'!D$3-$A46)/30,0)-24)/60))*$B46,$B46)</f>
        <v>0</v>
      </c>
      <c r="D46" s="29">
        <f>MIN(IF(ROUNDDOWN(('Balance Sheet'!E$3-$A46)/30,0)&lt;='Cash Flow'!$M46,0,((ROUNDDOWN(('Balance Sheet'!E$3-$A46)/30,0)-'Cash Flow'!$M46)/'Cash Flow'!$N46))*$B46,$B46)-SUM($C46:C46)</f>
        <v>0</v>
      </c>
      <c r="E46" s="29">
        <f>MIN(IF(ROUNDDOWN(('Balance Sheet'!F$3-$A46)/30,0)&lt;='Cash Flow'!$M46,0,((ROUNDDOWN(('Balance Sheet'!F$3-$A46)/30,0)-'Cash Flow'!$M46)/'Cash Flow'!$N46))*$B46,$B46)-SUM($C46:D46)</f>
        <v>0</v>
      </c>
      <c r="F46" s="29">
        <f>MIN(IF(ROUNDDOWN(('Balance Sheet'!G$3-$A46)/30,0)&lt;='Cash Flow'!$M46,0,((ROUNDDOWN(('Balance Sheet'!G$3-$A46)/30,0)-'Cash Flow'!$M46)/'Cash Flow'!$N46))*$B46,$B46)-SUM($C46:E46)</f>
        <v>0</v>
      </c>
      <c r="G46" s="29">
        <f>MIN(IF(ROUNDDOWN(('Balance Sheet'!H$3-$A46)/30,0)&lt;='Cash Flow'!$M46,0,((ROUNDDOWN(('Balance Sheet'!H$3-$A46)/30,0)-'Cash Flow'!$M46)/'Cash Flow'!$N46))*$B46,$B46)-SUM($C46:F46)</f>
        <v>0</v>
      </c>
      <c r="H46" s="29">
        <f>MIN(IF(ROUNDDOWN(('Balance Sheet'!I$3-$A46)/30,0)&lt;='Cash Flow'!$M46,0,((ROUNDDOWN(('Balance Sheet'!I$3-$A46)/30,0)-'Cash Flow'!$M46)/'Cash Flow'!$N46))*$B46,$B46)-SUM($C46:G46)</f>
        <v>21</v>
      </c>
      <c r="I46" s="29">
        <f>MIN(IF(ROUNDDOWN(('Balance Sheet'!J$3-$A46)/30,0)&lt;='Cash Flow'!$M46,0,((ROUNDDOWN(('Balance Sheet'!J$3-$A46)/30,0)-'Cash Flow'!$M46)/'Cash Flow'!$N46))*$B46,$B46)-SUM($C46:H46)</f>
        <v>21</v>
      </c>
      <c r="J46" s="29">
        <f>(MIN(IF(ROUNDDOWN(('Balance Sheet'!K$3-$A46)/30,0)&lt;='Cash Flow'!$M46,0,((ROUNDDOWN(('Balance Sheet'!K$3-$A46)/30,0)-'Cash Flow'!$M46)/'Cash Flow'!$N46))*$B46,$B46)-SUM($C46:I46))</f>
        <v>21</v>
      </c>
      <c r="K46" s="29">
        <f>MIN(IF(ROUNDDOWN(('Balance Sheet'!L$3-$A46)/30,0)&lt;='Cash Flow'!$M46,0,((ROUNDDOWN(('Balance Sheet'!L$3-$A46)/30,0)-'Cash Flow'!$M46)/'Cash Flow'!$N46))*$B46,$B46)-SUM($C46:J46)</f>
        <v>21</v>
      </c>
      <c r="L46" s="29">
        <f>MIN(IF(ROUNDDOWN(('Balance Sheet'!M$3-$A46)/30,0)&lt;='Cash Flow'!$M46,0,((ROUNDDOWN(('Balance Sheet'!M$3-$A46)/30,0)-'Cash Flow'!$M46)/'Cash Flow'!$N46))*$B46,$B46)-SUM($C46:K46)</f>
        <v>0</v>
      </c>
      <c r="M46" s="168">
        <v>24</v>
      </c>
      <c r="N46" s="169">
        <v>48</v>
      </c>
    </row>
    <row r="47" spans="1:14" x14ac:dyDescent="0.35">
      <c r="A47" s="93">
        <f t="shared" si="10"/>
        <v>45473</v>
      </c>
      <c r="B47" s="7">
        <v>93</v>
      </c>
      <c r="C47" s="29">
        <f>MIN(IF(ROUNDDOWN(('Balance Sheet'!D$3-$A47)/30,0)&lt;=24,0,((ROUNDDOWN(('Balance Sheet'!D$3-$A47)/30,0)-24)/60))*$B47,$B47)</f>
        <v>0</v>
      </c>
      <c r="D47" s="29">
        <f>MIN(IF(ROUNDDOWN(('Balance Sheet'!E$3-$A47)/30,0)&lt;='Cash Flow'!$M47,0,((ROUNDDOWN(('Balance Sheet'!E$3-$A47)/30,0)-'Cash Flow'!$M47)/'Cash Flow'!$N47))*$B47,$B47)-SUM($C47:C47)</f>
        <v>0</v>
      </c>
      <c r="E47" s="29">
        <f>MIN(IF(ROUNDDOWN(('Balance Sheet'!F$3-$A47)/30,0)&lt;='Cash Flow'!$M47,0,((ROUNDDOWN(('Balance Sheet'!F$3-$A47)/30,0)-'Cash Flow'!$M47)/'Cash Flow'!$N47))*$B47,$B47)-SUM($C47:D47)</f>
        <v>0</v>
      </c>
      <c r="F47" s="29">
        <f>MIN(IF(ROUNDDOWN(('Balance Sheet'!G$3-$A47)/30,0)&lt;='Cash Flow'!$M47,0,((ROUNDDOWN(('Balance Sheet'!G$3-$A47)/30,0)-'Cash Flow'!$M47)/'Cash Flow'!$N47))*$B47,$B47)-SUM($C47:E47)</f>
        <v>0</v>
      </c>
      <c r="G47" s="29">
        <f>MIN(IF(ROUNDDOWN(('Balance Sheet'!H$3-$A47)/30,0)&lt;='Cash Flow'!$M47,0,((ROUNDDOWN(('Balance Sheet'!H$3-$A47)/30,0)-'Cash Flow'!$M47)/'Cash Flow'!$N47))*$B47,$B47)-SUM($C47:F47)</f>
        <v>0</v>
      </c>
      <c r="H47" s="29">
        <f>MIN(IF(ROUNDDOWN(('Balance Sheet'!I$3-$A47)/30,0)&lt;='Cash Flow'!$M47,0,((ROUNDDOWN(('Balance Sheet'!I$3-$A47)/30,0)-'Cash Flow'!$M47)/'Cash Flow'!$N47))*$B47,$B47)-SUM($C47:G47)</f>
        <v>23.25</v>
      </c>
      <c r="I47" s="29">
        <f>MIN(IF(ROUNDDOWN(('Balance Sheet'!J$3-$A47)/30,0)&lt;='Cash Flow'!$M47,0,((ROUNDDOWN(('Balance Sheet'!J$3-$A47)/30,0)-'Cash Flow'!$M47)/'Cash Flow'!$N47))*$B47,$B47)-SUM($C47:H47)</f>
        <v>31</v>
      </c>
      <c r="J47" s="29">
        <f>(MIN(IF(ROUNDDOWN(('Balance Sheet'!K$3-$A47)/30,0)&lt;='Cash Flow'!$M47,0,((ROUNDDOWN(('Balance Sheet'!K$3-$A47)/30,0)-'Cash Flow'!$M47)/'Cash Flow'!$N47))*$B47,$B47)-SUM($C47:I47))</f>
        <v>31</v>
      </c>
      <c r="K47" s="29">
        <f>MIN(IF(ROUNDDOWN(('Balance Sheet'!L$3-$A47)/30,0)&lt;='Cash Flow'!$M47,0,((ROUNDDOWN(('Balance Sheet'!L$3-$A47)/30,0)-'Cash Flow'!$M47)/'Cash Flow'!$N47))*$B47,$B47)-SUM($C47:J47)</f>
        <v>7.75</v>
      </c>
      <c r="L47" s="29">
        <f>MIN(IF(ROUNDDOWN(('Balance Sheet'!M$3-$A47)/30,0)&lt;='Cash Flow'!$M47,0,((ROUNDDOWN(('Balance Sheet'!M$3-$A47)/30,0)-'Cash Flow'!$M47)/'Cash Flow'!$N47))*$B47,$B47)-SUM($C47:K47)</f>
        <v>0</v>
      </c>
      <c r="M47" s="168">
        <v>24</v>
      </c>
      <c r="N47" s="169">
        <v>36</v>
      </c>
    </row>
    <row r="48" spans="1:14" x14ac:dyDescent="0.35">
      <c r="A48" s="93">
        <f t="shared" si="10"/>
        <v>45565</v>
      </c>
      <c r="B48" s="7">
        <v>93</v>
      </c>
      <c r="C48" s="29">
        <f>MIN(IF(ROUNDDOWN(('Balance Sheet'!D$3-$A48)/30,0)&lt;=24,0,((ROUNDDOWN(('Balance Sheet'!D$3-$A48)/30,0)-24)/60))*$B48,$B48)</f>
        <v>0</v>
      </c>
      <c r="D48" s="29">
        <f>MIN(IF(ROUNDDOWN(('Balance Sheet'!E$3-$A48)/30,0)&lt;='Cash Flow'!$M48,0,((ROUNDDOWN(('Balance Sheet'!E$3-$A48)/30,0)-'Cash Flow'!$M48)/'Cash Flow'!$N48))*$B48,$B48)-SUM($C48:C48)</f>
        <v>0</v>
      </c>
      <c r="E48" s="29">
        <f>MIN(IF(ROUNDDOWN(('Balance Sheet'!F$3-$A48)/30,0)&lt;='Cash Flow'!$M48,0,((ROUNDDOWN(('Balance Sheet'!F$3-$A48)/30,0)-'Cash Flow'!$M48)/'Cash Flow'!$N48))*$B48,$B48)-SUM($C48:D48)</f>
        <v>0</v>
      </c>
      <c r="F48" s="29">
        <f>MIN(IF(ROUNDDOWN(('Balance Sheet'!G$3-$A48)/30,0)&lt;='Cash Flow'!$M48,0,((ROUNDDOWN(('Balance Sheet'!G$3-$A48)/30,0)-'Cash Flow'!$M48)/'Cash Flow'!$N48))*$B48,$B48)-SUM($C48:E48)</f>
        <v>0</v>
      </c>
      <c r="G48" s="29">
        <f>MIN(IF(ROUNDDOWN(('Balance Sheet'!H$3-$A48)/30,0)&lt;='Cash Flow'!$M48,0,((ROUNDDOWN(('Balance Sheet'!H$3-$A48)/30,0)-'Cash Flow'!$M48)/'Cash Flow'!$N48))*$B48,$B48)-SUM($C48:F48)</f>
        <v>0</v>
      </c>
      <c r="H48" s="29">
        <f>MIN(IF(ROUNDDOWN(('Balance Sheet'!I$3-$A48)/30,0)&lt;='Cash Flow'!$M48,0,((ROUNDDOWN(('Balance Sheet'!I$3-$A48)/30,0)-'Cash Flow'!$M48)/'Cash Flow'!$N48))*$B48,$B48)-SUM($C48:G48)</f>
        <v>15.5</v>
      </c>
      <c r="I48" s="29">
        <f>MIN(IF(ROUNDDOWN(('Balance Sheet'!J$3-$A48)/30,0)&lt;='Cash Flow'!$M48,0,((ROUNDDOWN(('Balance Sheet'!J$3-$A48)/30,0)-'Cash Flow'!$M48)/'Cash Flow'!$N48))*$B48,$B48)-SUM($C48:H48)</f>
        <v>31</v>
      </c>
      <c r="J48" s="29">
        <f>(MIN(IF(ROUNDDOWN(('Balance Sheet'!K$3-$A48)/30,0)&lt;='Cash Flow'!$M48,0,((ROUNDDOWN(('Balance Sheet'!K$3-$A48)/30,0)-'Cash Flow'!$M48)/'Cash Flow'!$N48))*$B48,$B48)-SUM($C48:I48))</f>
        <v>31</v>
      </c>
      <c r="K48" s="29">
        <f>MIN(IF(ROUNDDOWN(('Balance Sheet'!L$3-$A48)/30,0)&lt;='Cash Flow'!$M48,0,((ROUNDDOWN(('Balance Sheet'!L$3-$A48)/30,0)-'Cash Flow'!$M48)/'Cash Flow'!$N48))*$B48,$B48)-SUM($C48:J48)</f>
        <v>15.5</v>
      </c>
      <c r="L48" s="29">
        <f>MIN(IF(ROUNDDOWN(('Balance Sheet'!M$3-$A48)/30,0)&lt;='Cash Flow'!$M48,0,((ROUNDDOWN(('Balance Sheet'!M$3-$A48)/30,0)-'Cash Flow'!$M48)/'Cash Flow'!$N48))*$B48,$B48)-SUM($C48:K48)</f>
        <v>0</v>
      </c>
      <c r="M48" s="168">
        <v>24</v>
      </c>
      <c r="N48" s="169">
        <v>36</v>
      </c>
    </row>
    <row r="49" spans="1:14" x14ac:dyDescent="0.35">
      <c r="A49" s="93">
        <f t="shared" si="10"/>
        <v>45657</v>
      </c>
      <c r="B49" s="7">
        <v>93</v>
      </c>
      <c r="C49" s="29">
        <f>MIN(IF(ROUNDDOWN(('Balance Sheet'!D$3-$A49)/30,0)&lt;=24,0,((ROUNDDOWN(('Balance Sheet'!D$3-$A49)/30,0)-24)/60))*$B49,$B49)</f>
        <v>0</v>
      </c>
      <c r="D49" s="29">
        <f>MIN(IF(ROUNDDOWN(('Balance Sheet'!E$3-$A49)/30,0)&lt;='Cash Flow'!$M49,0,((ROUNDDOWN(('Balance Sheet'!E$3-$A49)/30,0)-'Cash Flow'!$M49)/'Cash Flow'!$N49))*$B49,$B49)-SUM($C49:C49)</f>
        <v>0</v>
      </c>
      <c r="E49" s="29">
        <f>MIN(IF(ROUNDDOWN(('Balance Sheet'!F$3-$A49)/30,0)&lt;='Cash Flow'!$M49,0,((ROUNDDOWN(('Balance Sheet'!F$3-$A49)/30,0)-'Cash Flow'!$M49)/'Cash Flow'!$N49))*$B49,$B49)-SUM($C49:D49)</f>
        <v>0</v>
      </c>
      <c r="F49" s="29">
        <f>MIN(IF(ROUNDDOWN(('Balance Sheet'!G$3-$A49)/30,0)&lt;='Cash Flow'!$M49,0,((ROUNDDOWN(('Balance Sheet'!G$3-$A49)/30,0)-'Cash Flow'!$M49)/'Cash Flow'!$N49))*$B49,$B49)-SUM($C49:E49)</f>
        <v>0</v>
      </c>
      <c r="G49" s="29">
        <f>MIN(IF(ROUNDDOWN(('Balance Sheet'!H$3-$A49)/30,0)&lt;='Cash Flow'!$M49,0,((ROUNDDOWN(('Balance Sheet'!H$3-$A49)/30,0)-'Cash Flow'!$M49)/'Cash Flow'!$N49))*$B49,$B49)-SUM($C49:F49)</f>
        <v>0</v>
      </c>
      <c r="H49" s="29">
        <f>MIN(IF(ROUNDDOWN(('Balance Sheet'!I$3-$A49)/30,0)&lt;='Cash Flow'!$M49,0,((ROUNDDOWN(('Balance Sheet'!I$3-$A49)/30,0)-'Cash Flow'!$M49)/'Cash Flow'!$N49))*$B49,$B49)-SUM($C49:G49)</f>
        <v>7.75</v>
      </c>
      <c r="I49" s="29">
        <f>MIN(IF(ROUNDDOWN(('Balance Sheet'!J$3-$A49)/30,0)&lt;='Cash Flow'!$M49,0,((ROUNDDOWN(('Balance Sheet'!J$3-$A49)/30,0)-'Cash Flow'!$M49)/'Cash Flow'!$N49))*$B49,$B49)-SUM($C49:H49)</f>
        <v>31</v>
      </c>
      <c r="J49" s="29">
        <f>(MIN(IF(ROUNDDOWN(('Balance Sheet'!K$3-$A49)/30,0)&lt;='Cash Flow'!$M49,0,((ROUNDDOWN(('Balance Sheet'!K$3-$A49)/30,0)-'Cash Flow'!$M49)/'Cash Flow'!$N49))*$B49,$B49)-SUM($C49:I49))</f>
        <v>31</v>
      </c>
      <c r="K49" s="29">
        <f>MIN(IF(ROUNDDOWN(('Balance Sheet'!L$3-$A49)/30,0)&lt;='Cash Flow'!$M49,0,((ROUNDDOWN(('Balance Sheet'!L$3-$A49)/30,0)-'Cash Flow'!$M49)/'Cash Flow'!$N49))*$B49,$B49)-SUM($C49:J49)</f>
        <v>23.25</v>
      </c>
      <c r="L49" s="29">
        <f>MIN(IF(ROUNDDOWN(('Balance Sheet'!M$3-$A49)/30,0)&lt;='Cash Flow'!$M49,0,((ROUNDDOWN(('Balance Sheet'!M$3-$A49)/30,0)-'Cash Flow'!$M49)/'Cash Flow'!$N49))*$B49,$B49)-SUM($C49:K49)</f>
        <v>0</v>
      </c>
      <c r="M49" s="168">
        <v>24</v>
      </c>
      <c r="N49" s="169">
        <v>36</v>
      </c>
    </row>
    <row r="50" spans="1:14" x14ac:dyDescent="0.35">
      <c r="A50" s="93">
        <f t="shared" si="10"/>
        <v>45747</v>
      </c>
      <c r="B50" s="7">
        <v>93</v>
      </c>
      <c r="C50" s="29">
        <f>MIN(IF(ROUNDDOWN(('Balance Sheet'!D$3-$A50)/30,0)&lt;=24,0,((ROUNDDOWN(('Balance Sheet'!D$3-$A50)/30,0)-24)/60))*$B50,$B50)</f>
        <v>0</v>
      </c>
      <c r="D50" s="29">
        <f>MIN(IF(ROUNDDOWN(('Balance Sheet'!E$3-$A50)/30,0)&lt;='Cash Flow'!$M50,0,((ROUNDDOWN(('Balance Sheet'!E$3-$A50)/30,0)-'Cash Flow'!$M50)/'Cash Flow'!$N50))*$B50,$B50)-SUM($C50:C50)</f>
        <v>0</v>
      </c>
      <c r="E50" s="29">
        <f>MIN(IF(ROUNDDOWN(('Balance Sheet'!F$3-$A50)/30,0)&lt;='Cash Flow'!$M50,0,((ROUNDDOWN(('Balance Sheet'!F$3-$A50)/30,0)-'Cash Flow'!$M50)/'Cash Flow'!$N50))*$B50,$B50)-SUM($C50:D50)</f>
        <v>0</v>
      </c>
      <c r="F50" s="29">
        <f>MIN(IF(ROUNDDOWN(('Balance Sheet'!G$3-$A50)/30,0)&lt;='Cash Flow'!$M50,0,((ROUNDDOWN(('Balance Sheet'!G$3-$A50)/30,0)-'Cash Flow'!$M50)/'Cash Flow'!$N50))*$B50,$B50)-SUM($C50:E50)</f>
        <v>0</v>
      </c>
      <c r="G50" s="29">
        <f>MIN(IF(ROUNDDOWN(('Balance Sheet'!H$3-$A50)/30,0)&lt;='Cash Flow'!$M50,0,((ROUNDDOWN(('Balance Sheet'!H$3-$A50)/30,0)-'Cash Flow'!$M50)/'Cash Flow'!$N50))*$B50,$B50)-SUM($C50:F50)</f>
        <v>0</v>
      </c>
      <c r="H50" s="29">
        <f>MIN(IF(ROUNDDOWN(('Balance Sheet'!I$3-$A50)/30,0)&lt;='Cash Flow'!$M50,0,((ROUNDDOWN(('Balance Sheet'!I$3-$A50)/30,0)-'Cash Flow'!$M50)/'Cash Flow'!$N50))*$B50,$B50)-SUM($C50:G50)</f>
        <v>0</v>
      </c>
      <c r="I50" s="29">
        <f>MIN(IF(ROUNDDOWN(('Balance Sheet'!J$3-$A50)/30,0)&lt;='Cash Flow'!$M50,0,((ROUNDDOWN(('Balance Sheet'!J$3-$A50)/30,0)-'Cash Flow'!$M50)/'Cash Flow'!$N50))*$B50,$B50)-SUM($C50:H50)</f>
        <v>31</v>
      </c>
      <c r="J50" s="29">
        <f>(MIN(IF(ROUNDDOWN(('Balance Sheet'!K$3-$A50)/30,0)&lt;='Cash Flow'!$M50,0,((ROUNDDOWN(('Balance Sheet'!K$3-$A50)/30,0)-'Cash Flow'!$M50)/'Cash Flow'!$N50))*$B50,$B50)-SUM($C50:I50))</f>
        <v>31</v>
      </c>
      <c r="K50" s="29">
        <f>MIN(IF(ROUNDDOWN(('Balance Sheet'!L$3-$A50)/30,0)&lt;='Cash Flow'!$M50,0,((ROUNDDOWN(('Balance Sheet'!L$3-$A50)/30,0)-'Cash Flow'!$M50)/'Cash Flow'!$N50))*$B50,$B50)-SUM($C50:J50)</f>
        <v>31</v>
      </c>
      <c r="L50" s="29">
        <f>MIN(IF(ROUNDDOWN(('Balance Sheet'!M$3-$A50)/30,0)&lt;='Cash Flow'!$M50,0,((ROUNDDOWN(('Balance Sheet'!M$3-$A50)/30,0)-'Cash Flow'!$M50)/'Cash Flow'!$N50))*$B50,$B50)-SUM($C50:K50)</f>
        <v>0</v>
      </c>
      <c r="M50" s="168">
        <v>24</v>
      </c>
      <c r="N50" s="169">
        <v>36</v>
      </c>
    </row>
    <row r="51" spans="1:14" x14ac:dyDescent="0.35">
      <c r="A51" s="93">
        <f t="shared" si="10"/>
        <v>45838</v>
      </c>
      <c r="B51" s="7">
        <v>67</v>
      </c>
      <c r="C51" s="29">
        <f>MIN(IF(ROUNDDOWN(('Balance Sheet'!D$3-$A51)/30,0)&lt;=24,0,((ROUNDDOWN(('Balance Sheet'!D$3-$A51)/30,0)-24)/60))*$B51,$B51)</f>
        <v>0</v>
      </c>
      <c r="D51" s="29">
        <f>MIN(IF(ROUNDDOWN(('Balance Sheet'!E$3-$A51)/30,0)&lt;='Cash Flow'!$M51,0,((ROUNDDOWN(('Balance Sheet'!E$3-$A51)/30,0)-'Cash Flow'!$M51)/'Cash Flow'!$N51))*$B51,$B51)-SUM($C51:C51)</f>
        <v>0</v>
      </c>
      <c r="E51" s="29">
        <f>MIN(IF(ROUNDDOWN(('Balance Sheet'!F$3-$A51)/30,0)&lt;='Cash Flow'!$M51,0,((ROUNDDOWN(('Balance Sheet'!F$3-$A51)/30,0)-'Cash Flow'!$M51)/'Cash Flow'!$N51))*$B51,$B51)-SUM($C51:D51)</f>
        <v>0</v>
      </c>
      <c r="F51" s="29">
        <f>MIN(IF(ROUNDDOWN(('Balance Sheet'!G$3-$A51)/30,0)&lt;='Cash Flow'!$M51,0,((ROUNDDOWN(('Balance Sheet'!G$3-$A51)/30,0)-'Cash Flow'!$M51)/'Cash Flow'!$N51))*$B51,$B51)-SUM($C51:E51)</f>
        <v>0</v>
      </c>
      <c r="G51" s="29">
        <f>MIN(IF(ROUNDDOWN(('Balance Sheet'!H$3-$A51)/30,0)&lt;='Cash Flow'!$M51,0,((ROUNDDOWN(('Balance Sheet'!H$3-$A51)/30,0)-'Cash Flow'!$M51)/'Cash Flow'!$N51))*$B51,$B51)-SUM($C51:F51)</f>
        <v>0</v>
      </c>
      <c r="H51" s="29">
        <f>MIN(IF(ROUNDDOWN(('Balance Sheet'!I$3-$A51)/30,0)&lt;='Cash Flow'!$M51,0,((ROUNDDOWN(('Balance Sheet'!I$3-$A51)/30,0)-'Cash Flow'!$M51)/'Cash Flow'!$N51))*$B51,$B51)-SUM($C51:G51)</f>
        <v>0</v>
      </c>
      <c r="I51" s="29">
        <f>MIN(IF(ROUNDDOWN(('Balance Sheet'!J$3-$A51)/30,0)&lt;='Cash Flow'!$M51,0,((ROUNDDOWN(('Balance Sheet'!J$3-$A51)/30,0)-'Cash Flow'!$M51)/'Cash Flow'!$N51))*$B51,$B51)-SUM($C51:H51)</f>
        <v>25.125</v>
      </c>
      <c r="J51" s="29">
        <f>MIN(IF(ROUNDDOWN(('Balance Sheet'!K$3-$A51)/30,0)&lt;='Cash Flow'!$M51,0,((ROUNDDOWN(('Balance Sheet'!K$3-$A51)/30,0)-'Cash Flow'!$M51)/'Cash Flow'!$N51))*$B51,$B51)-SUM($C51:I51)</f>
        <v>33.5</v>
      </c>
      <c r="K51" s="29">
        <f>MIN(IF(ROUNDDOWN(('Balance Sheet'!L$3-$A51)/30,0)&lt;='Cash Flow'!$M51,0,((ROUNDDOWN(('Balance Sheet'!L$3-$A51)/30,0)-'Cash Flow'!$M51)/'Cash Flow'!$N51))*$B51,$B51)-SUM($C51:J51)</f>
        <v>8.375</v>
      </c>
      <c r="L51" s="29">
        <f>MIN(IF(ROUNDDOWN(('Balance Sheet'!M$3-$A51)/30,0)&lt;='Cash Flow'!$M51,0,((ROUNDDOWN(('Balance Sheet'!M$3-$A51)/30,0)-'Cash Flow'!$M51)/'Cash Flow'!$N51))*$B51,$B51)-SUM($C51:K51)</f>
        <v>0</v>
      </c>
      <c r="M51" s="168">
        <v>24</v>
      </c>
      <c r="N51" s="169">
        <v>24</v>
      </c>
    </row>
    <row r="52" spans="1:14" x14ac:dyDescent="0.35">
      <c r="A52" s="93">
        <f t="shared" si="10"/>
        <v>45930</v>
      </c>
      <c r="B52" s="7">
        <v>67</v>
      </c>
      <c r="C52" s="29">
        <f>MIN(IF(ROUNDDOWN(('Balance Sheet'!D$3-$A52)/30,0)&lt;=24,0,((ROUNDDOWN(('Balance Sheet'!D$3-$A52)/30,0)-24)/60))*$B52,$B52)</f>
        <v>0</v>
      </c>
      <c r="D52" s="29">
        <f>MIN(IF(ROUNDDOWN(('Balance Sheet'!E$3-$A52)/30,0)&lt;='Cash Flow'!$M52,0,((ROUNDDOWN(('Balance Sheet'!E$3-$A52)/30,0)-'Cash Flow'!$M52)/'Cash Flow'!$N52))*$B52,$B52)-SUM($C52:C52)</f>
        <v>0</v>
      </c>
      <c r="E52" s="29">
        <f>MIN(IF(ROUNDDOWN(('Balance Sheet'!F$3-$A52)/30,0)&lt;='Cash Flow'!$M52,0,((ROUNDDOWN(('Balance Sheet'!F$3-$A52)/30,0)-'Cash Flow'!$M52)/'Cash Flow'!$N52))*$B52,$B52)-SUM($C52:D52)</f>
        <v>0</v>
      </c>
      <c r="F52" s="29">
        <f>MIN(IF(ROUNDDOWN(('Balance Sheet'!G$3-$A52)/30,0)&lt;='Cash Flow'!$M52,0,((ROUNDDOWN(('Balance Sheet'!G$3-$A52)/30,0)-'Cash Flow'!$M52)/'Cash Flow'!$N52))*$B52,$B52)-SUM($C52:E52)</f>
        <v>0</v>
      </c>
      <c r="G52" s="29">
        <f>MIN(IF(ROUNDDOWN(('Balance Sheet'!H$3-$A52)/30,0)&lt;='Cash Flow'!$M52,0,((ROUNDDOWN(('Balance Sheet'!H$3-$A52)/30,0)-'Cash Flow'!$M52)/'Cash Flow'!$N52))*$B52,$B52)-SUM($C52:F52)</f>
        <v>0</v>
      </c>
      <c r="H52" s="29">
        <f>MIN(IF(ROUNDDOWN(('Balance Sheet'!I$3-$A52)/30,0)&lt;='Cash Flow'!$M52,0,((ROUNDDOWN(('Balance Sheet'!I$3-$A52)/30,0)-'Cash Flow'!$M52)/'Cash Flow'!$N52))*$B52,$B52)-SUM($C52:G52)</f>
        <v>0</v>
      </c>
      <c r="I52" s="29">
        <f>MIN(IF(ROUNDDOWN(('Balance Sheet'!J$3-$A52)/30,0)&lt;='Cash Flow'!$M52,0,((ROUNDDOWN(('Balance Sheet'!J$3-$A52)/30,0)-'Cash Flow'!$M52)/'Cash Flow'!$N52))*$B52,$B52)-SUM($C52:H52)</f>
        <v>16.75</v>
      </c>
      <c r="J52" s="29">
        <f>MIN(IF(ROUNDDOWN(('Balance Sheet'!K$3-$A52)/30,0)&lt;='Cash Flow'!$M52,0,((ROUNDDOWN(('Balance Sheet'!K$3-$A52)/30,0)-'Cash Flow'!$M52)/'Cash Flow'!$N52))*$B52,$B52)-SUM($C52:I52)</f>
        <v>33.5</v>
      </c>
      <c r="K52" s="29">
        <f>MIN(IF(ROUNDDOWN(('Balance Sheet'!L$3-$A52)/30,0)&lt;='Cash Flow'!$M52,0,((ROUNDDOWN(('Balance Sheet'!L$3-$A52)/30,0)-'Cash Flow'!$M52)/'Cash Flow'!$N52))*$B52,$B52)-SUM($C52:J52)</f>
        <v>16.75</v>
      </c>
      <c r="L52" s="29">
        <f>MIN(IF(ROUNDDOWN(('Balance Sheet'!M$3-$A52)/30,0)&lt;='Cash Flow'!$M52,0,((ROUNDDOWN(('Balance Sheet'!M$3-$A52)/30,0)-'Cash Flow'!$M52)/'Cash Flow'!$N52))*$B52,$B52)-SUM($C52:K52)</f>
        <v>0</v>
      </c>
      <c r="M52" s="168">
        <v>24</v>
      </c>
      <c r="N52" s="169">
        <v>24</v>
      </c>
    </row>
    <row r="53" spans="1:14" x14ac:dyDescent="0.35">
      <c r="A53" s="93">
        <f t="shared" si="10"/>
        <v>46022</v>
      </c>
      <c r="B53" s="7">
        <v>67</v>
      </c>
      <c r="C53" s="29">
        <f>MIN(IF(ROUNDDOWN(('Balance Sheet'!D$3-$A53)/30,0)&lt;=24,0,((ROUNDDOWN(('Balance Sheet'!D$3-$A53)/30,0)-24)/60))*$B53,$B53)</f>
        <v>0</v>
      </c>
      <c r="D53" s="29">
        <f>MIN(IF(ROUNDDOWN(('Balance Sheet'!E$3-$A53)/30,0)&lt;='Cash Flow'!$M53,0,((ROUNDDOWN(('Balance Sheet'!E$3-$A53)/30,0)-'Cash Flow'!$M53)/'Cash Flow'!$N53))*$B53,$B53)-SUM($C53:C53)</f>
        <v>0</v>
      </c>
      <c r="E53" s="29">
        <f>MIN(IF(ROUNDDOWN(('Balance Sheet'!F$3-$A53)/30,0)&lt;='Cash Flow'!$M53,0,((ROUNDDOWN(('Balance Sheet'!F$3-$A53)/30,0)-'Cash Flow'!$M53)/'Cash Flow'!$N53))*$B53,$B53)-SUM($C53:D53)</f>
        <v>0</v>
      </c>
      <c r="F53" s="29">
        <f>MIN(IF(ROUNDDOWN(('Balance Sheet'!G$3-$A53)/30,0)&lt;='Cash Flow'!$M53,0,((ROUNDDOWN(('Balance Sheet'!G$3-$A53)/30,0)-'Cash Flow'!$M53)/'Cash Flow'!$N53))*$B53,$B53)-SUM($C53:E53)</f>
        <v>0</v>
      </c>
      <c r="G53" s="29">
        <f>MIN(IF(ROUNDDOWN(('Balance Sheet'!H$3-$A53)/30,0)&lt;='Cash Flow'!$M53,0,((ROUNDDOWN(('Balance Sheet'!H$3-$A53)/30,0)-'Cash Flow'!$M53)/'Cash Flow'!$N53))*$B53,$B53)-SUM($C53:F53)</f>
        <v>0</v>
      </c>
      <c r="H53" s="29">
        <f>MIN(IF(ROUNDDOWN(('Balance Sheet'!I$3-$A53)/30,0)&lt;='Cash Flow'!$M53,0,((ROUNDDOWN(('Balance Sheet'!I$3-$A53)/30,0)-'Cash Flow'!$M53)/'Cash Flow'!$N53))*$B53,$B53)-SUM($C53:G53)</f>
        <v>0</v>
      </c>
      <c r="I53" s="29">
        <f>MIN(IF(ROUNDDOWN(('Balance Sheet'!J$3-$A53)/30,0)&lt;='Cash Flow'!$M53,0,((ROUNDDOWN(('Balance Sheet'!J$3-$A53)/30,0)-'Cash Flow'!$M53)/'Cash Flow'!$N53))*$B53,$B53)-SUM($C53:H53)</f>
        <v>8.375</v>
      </c>
      <c r="J53" s="29">
        <f>MIN(IF(ROUNDDOWN(('Balance Sheet'!K$3-$A53)/30,0)&lt;='Cash Flow'!$M53,0,((ROUNDDOWN(('Balance Sheet'!K$3-$A53)/30,0)-'Cash Flow'!$M53)/'Cash Flow'!$N53))*$B53,$B53)-SUM($C53:I53)</f>
        <v>33.5</v>
      </c>
      <c r="K53" s="29">
        <f>MIN(IF(ROUNDDOWN(('Balance Sheet'!L$3-$A53)/30,0)&lt;='Cash Flow'!$M53,0,((ROUNDDOWN(('Balance Sheet'!L$3-$A53)/30,0)-'Cash Flow'!$M53)/'Cash Flow'!$N53))*$B53,$B53)-SUM($C53:J53)</f>
        <v>25.125</v>
      </c>
      <c r="L53" s="29">
        <f>MIN(IF(ROUNDDOWN(('Balance Sheet'!M$3-$A53)/30,0)&lt;='Cash Flow'!$M53,0,((ROUNDDOWN(('Balance Sheet'!M$3-$A53)/30,0)-'Cash Flow'!$M53)/'Cash Flow'!$N53))*$B53,$B53)-SUM($C53:K53)</f>
        <v>0</v>
      </c>
      <c r="M53" s="168">
        <v>24</v>
      </c>
      <c r="N53" s="169">
        <v>24</v>
      </c>
    </row>
    <row r="54" spans="1:14" x14ac:dyDescent="0.35">
      <c r="A54" s="93">
        <f t="shared" si="10"/>
        <v>46112</v>
      </c>
      <c r="B54" s="7">
        <v>67</v>
      </c>
      <c r="C54" s="29">
        <f>MIN(IF(ROUNDDOWN(('Balance Sheet'!D$3-$A54)/30,0)&lt;=24,0,((ROUNDDOWN(('Balance Sheet'!D$3-$A54)/30,0)-24)/60))*$B54,$B54)</f>
        <v>0</v>
      </c>
      <c r="D54" s="29">
        <f>MIN(IF(ROUNDDOWN(('Balance Sheet'!E$3-$A54)/30,0)&lt;='Cash Flow'!$M54,0,((ROUNDDOWN(('Balance Sheet'!E$3-$A54)/30,0)-'Cash Flow'!$M54)/'Cash Flow'!$N54))*$B54,$B54)-SUM($C54:C54)</f>
        <v>0</v>
      </c>
      <c r="E54" s="29">
        <f>MIN(IF(ROUNDDOWN(('Balance Sheet'!F$3-$A54)/30,0)&lt;='Cash Flow'!$M54,0,((ROUNDDOWN(('Balance Sheet'!F$3-$A54)/30,0)-'Cash Flow'!$M54)/'Cash Flow'!$N54))*$B54,$B54)-SUM($C54:D54)</f>
        <v>0</v>
      </c>
      <c r="F54" s="29">
        <f>MIN(IF(ROUNDDOWN(('Balance Sheet'!G$3-$A54)/30,0)&lt;='Cash Flow'!$M54,0,((ROUNDDOWN(('Balance Sheet'!G$3-$A54)/30,0)-'Cash Flow'!$M54)/'Cash Flow'!$N54))*$B54,$B54)-SUM($C54:E54)</f>
        <v>0</v>
      </c>
      <c r="G54" s="29">
        <f>MIN(IF(ROUNDDOWN(('Balance Sheet'!H$3-$A54)/30,0)&lt;='Cash Flow'!$M54,0,((ROUNDDOWN(('Balance Sheet'!H$3-$A54)/30,0)-'Cash Flow'!$M54)/'Cash Flow'!$N54))*$B54,$B54)-SUM($C54:F54)</f>
        <v>0</v>
      </c>
      <c r="H54" s="29">
        <f>MIN(IF(ROUNDDOWN(('Balance Sheet'!I$3-$A54)/30,0)&lt;='Cash Flow'!$M54,0,((ROUNDDOWN(('Balance Sheet'!I$3-$A54)/30,0)-'Cash Flow'!$M54)/'Cash Flow'!$N54))*$B54,$B54)-SUM($C54:G54)</f>
        <v>0</v>
      </c>
      <c r="I54" s="29">
        <f>MIN(IF(ROUNDDOWN(('Balance Sheet'!J$3-$A54)/30,0)&lt;='Cash Flow'!$M54,0,((ROUNDDOWN(('Balance Sheet'!J$3-$A54)/30,0)-'Cash Flow'!$M54)/'Cash Flow'!$N54))*$B54,$B54)-SUM($C54:H54)</f>
        <v>0</v>
      </c>
      <c r="J54" s="29">
        <f>MIN(IF(ROUNDDOWN(('Balance Sheet'!K$3-$A54)/30,0)&lt;='Cash Flow'!$M54,0,((ROUNDDOWN(('Balance Sheet'!K$3-$A54)/30,0)-'Cash Flow'!$M54)/'Cash Flow'!$N54))*$B54,$B54)-SUM($C54:I54)</f>
        <v>33.5</v>
      </c>
      <c r="K54" s="29">
        <f>MIN(IF(ROUNDDOWN(('Balance Sheet'!L$3-$A54)/30,0)&lt;='Cash Flow'!$M54,0,((ROUNDDOWN(('Balance Sheet'!L$3-$A54)/30,0)-'Cash Flow'!$M54)/'Cash Flow'!$N54))*$B54,$B54)-SUM($C54:J54)</f>
        <v>33.5</v>
      </c>
      <c r="L54" s="29">
        <f>MIN(IF(ROUNDDOWN(('Balance Sheet'!M$3-$A54)/30,0)&lt;='Cash Flow'!$M54,0,((ROUNDDOWN(('Balance Sheet'!M$3-$A54)/30,0)-'Cash Flow'!$M54)/'Cash Flow'!$N54))*$B54,$B54)-SUM($C54:K54)</f>
        <v>0</v>
      </c>
      <c r="M54" s="168">
        <v>24</v>
      </c>
      <c r="N54" s="169">
        <v>24</v>
      </c>
    </row>
    <row r="55" spans="1:14" x14ac:dyDescent="0.35">
      <c r="A55" s="93">
        <f t="shared" si="10"/>
        <v>46203</v>
      </c>
      <c r="B55" s="7">
        <v>77</v>
      </c>
      <c r="C55" s="29">
        <f>MIN(IF(ROUNDDOWN(('Balance Sheet'!D$3-$A55)/30,0)&lt;=24,0,((ROUNDDOWN(('Balance Sheet'!D$3-$A55)/30,0)-24)/60))*$B55,$B55)</f>
        <v>0</v>
      </c>
      <c r="D55" s="29">
        <f>MIN(IF(ROUNDDOWN(('Balance Sheet'!E$3-$A55)/30,0)&lt;='Cash Flow'!$M55,0,((ROUNDDOWN(('Balance Sheet'!E$3-$A55)/30,0)-'Cash Flow'!$M55)/'Cash Flow'!$N55))*$B55,$B55)-SUM($C55:C55)</f>
        <v>0</v>
      </c>
      <c r="E55" s="29">
        <f>MIN(IF(ROUNDDOWN(('Balance Sheet'!F$3-$A55)/30,0)&lt;='Cash Flow'!$M55,0,((ROUNDDOWN(('Balance Sheet'!F$3-$A55)/30,0)-'Cash Flow'!$M55)/'Cash Flow'!$N55))*$B55,$B55)-SUM($C55:D55)</f>
        <v>0</v>
      </c>
      <c r="F55" s="29">
        <f>MIN(IF(ROUNDDOWN(('Balance Sheet'!G$3-$A55)/30,0)&lt;='Cash Flow'!$M55,0,((ROUNDDOWN(('Balance Sheet'!G$3-$A55)/30,0)-'Cash Flow'!$M55)/'Cash Flow'!$N55))*$B55,$B55)-SUM($C55:E55)</f>
        <v>0</v>
      </c>
      <c r="G55" s="29">
        <f>MIN(IF(ROUNDDOWN(('Balance Sheet'!H$3-$A55)/30,0)&lt;='Cash Flow'!$M55,0,((ROUNDDOWN(('Balance Sheet'!H$3-$A55)/30,0)-'Cash Flow'!$M55)/'Cash Flow'!$N55))*$B55,$B55)-SUM($C55:F55)</f>
        <v>0</v>
      </c>
      <c r="H55" s="29">
        <f>MIN(IF(ROUNDDOWN(('Balance Sheet'!I$3-$A55)/30,0)&lt;='Cash Flow'!$M55,0,((ROUNDDOWN(('Balance Sheet'!I$3-$A55)/30,0)-'Cash Flow'!$M55)/'Cash Flow'!$N55))*$B55,$B55)-SUM($C55:G55)</f>
        <v>0</v>
      </c>
      <c r="I55" s="29">
        <f>MIN(IF(ROUNDDOWN(('Balance Sheet'!J$3-$A55)/30,0)&lt;='Cash Flow'!$M55,0,((ROUNDDOWN(('Balance Sheet'!J$3-$A55)/30,0)-'Cash Flow'!$M55)/'Cash Flow'!$N55))*$B55,$B55)-SUM($C55:H55)</f>
        <v>0</v>
      </c>
      <c r="J55" s="29">
        <f>MIN(IF(ROUNDDOWN(('Balance Sheet'!K$3-$A55)/30,0)&lt;='Cash Flow'!$M55,0,((ROUNDDOWN(('Balance Sheet'!K$3-$A55)/30,0)-'Cash Flow'!$M55)/'Cash Flow'!$N55))*$B55,$B55)-SUM($C55:I55)</f>
        <v>57.75</v>
      </c>
      <c r="K55" s="29">
        <f>MIN(IF(ROUNDDOWN(('Balance Sheet'!L$3-$A55)/30,0)&lt;='Cash Flow'!$M55,0,((ROUNDDOWN(('Balance Sheet'!L$3-$A55)/30,0)-'Cash Flow'!$M55)/'Cash Flow'!$N55))*$B55,$B55)-SUM($C55:J55)</f>
        <v>19.25</v>
      </c>
      <c r="L55" s="29">
        <f>MIN(IF(ROUNDDOWN(('Balance Sheet'!M$3-$A55)/30,0)&lt;='Cash Flow'!$M55,0,((ROUNDDOWN(('Balance Sheet'!M$3-$A55)/30,0)-'Cash Flow'!$M55)/'Cash Flow'!$N55))*$B55,$B55)-SUM($C55:K55)</f>
        <v>0</v>
      </c>
      <c r="M55" s="168">
        <v>24</v>
      </c>
      <c r="N55" s="169">
        <v>12</v>
      </c>
    </row>
    <row r="56" spans="1:14" x14ac:dyDescent="0.35">
      <c r="A56" s="93">
        <f t="shared" si="10"/>
        <v>46295</v>
      </c>
      <c r="B56" s="7">
        <v>77</v>
      </c>
      <c r="C56" s="29"/>
      <c r="D56" s="29">
        <f>MIN(IF(ROUNDDOWN(('Balance Sheet'!E$3-$A56)/30,0)&lt;='Cash Flow'!$M56,0,((ROUNDDOWN(('Balance Sheet'!E$3-$A56)/30,0)-'Cash Flow'!$M56)/'Cash Flow'!$N56))*$B56,$B56)-SUM($C56:C56)</f>
        <v>0</v>
      </c>
      <c r="E56" s="29">
        <f>MIN(IF(ROUNDDOWN(('Balance Sheet'!F$3-$A56)/30,0)&lt;='Cash Flow'!$M56,0,((ROUNDDOWN(('Balance Sheet'!F$3-$A56)/30,0)-'Cash Flow'!$M56)/'Cash Flow'!$N56))*$B56,$B56)-SUM($C56:D56)</f>
        <v>0</v>
      </c>
      <c r="F56" s="29">
        <f>MIN(IF(ROUNDDOWN(('Balance Sheet'!G$3-$A56)/30,0)&lt;='Cash Flow'!$M56,0,((ROUNDDOWN(('Balance Sheet'!G$3-$A56)/30,0)-'Cash Flow'!$M56)/'Cash Flow'!$N56))*$B56,$B56)-SUM($C56:E56)</f>
        <v>0</v>
      </c>
      <c r="G56" s="29">
        <f>MIN(IF(ROUNDDOWN(('Balance Sheet'!H$3-$A56)/30,0)&lt;='Cash Flow'!$M56,0,((ROUNDDOWN(('Balance Sheet'!H$3-$A56)/30,0)-'Cash Flow'!$M56)/'Cash Flow'!$N56))*$B56,$B56)-SUM($C56:F56)</f>
        <v>0</v>
      </c>
      <c r="H56" s="29">
        <f>MIN(IF(ROUNDDOWN(('Balance Sheet'!I$3-$A56)/30,0)&lt;='Cash Flow'!$M56,0,((ROUNDDOWN(('Balance Sheet'!I$3-$A56)/30,0)-'Cash Flow'!$M56)/'Cash Flow'!$N56))*$B56,$B56)-SUM($C56:G56)</f>
        <v>0</v>
      </c>
      <c r="I56" s="29">
        <f>MIN(IF(ROUNDDOWN(('Balance Sheet'!J$3-$A56)/30,0)&lt;='Cash Flow'!$M56,0,((ROUNDDOWN(('Balance Sheet'!J$3-$A56)/30,0)-'Cash Flow'!$M56)/'Cash Flow'!$N56))*$B56,$B56)-SUM($C56:H56)</f>
        <v>0</v>
      </c>
      <c r="J56" s="29">
        <f>MIN(IF(ROUNDDOWN(('Balance Sheet'!K$3-$A56)/30,0)&lt;='Cash Flow'!$M56,0,((ROUNDDOWN(('Balance Sheet'!K$3-$A56)/30,0)-'Cash Flow'!$M56)/'Cash Flow'!$N56))*$B56,$B56)-SUM($C56:I56)</f>
        <v>38.5</v>
      </c>
      <c r="K56" s="29">
        <f>MIN(IF(ROUNDDOWN(('Balance Sheet'!L$3-$A56)/30,0)&lt;='Cash Flow'!$M56,0,((ROUNDDOWN(('Balance Sheet'!L$3-$A56)/30,0)-'Cash Flow'!$M56)/'Cash Flow'!$N56))*$B56,$B56)-SUM($C56:J56)</f>
        <v>38.5</v>
      </c>
      <c r="L56" s="29">
        <f>MIN(IF(ROUNDDOWN(('Balance Sheet'!M$3-$A56)/30,0)&lt;='Cash Flow'!$M56,0,((ROUNDDOWN(('Balance Sheet'!M$3-$A56)/30,0)-'Cash Flow'!$M56)/'Cash Flow'!$N56))*$B56,$B56)-SUM($C56:K56)</f>
        <v>0</v>
      </c>
      <c r="M56" s="168">
        <v>24</v>
      </c>
      <c r="N56" s="169">
        <v>12</v>
      </c>
    </row>
    <row r="57" spans="1:14" x14ac:dyDescent="0.35">
      <c r="A57" s="93">
        <f t="shared" si="10"/>
        <v>46387</v>
      </c>
      <c r="B57" s="7">
        <v>77</v>
      </c>
      <c r="C57" s="29"/>
      <c r="D57" s="29">
        <f>MIN(IF(ROUNDDOWN(('Balance Sheet'!E$3-$A57)/30,0)&lt;='Cash Flow'!$M57,0,((ROUNDDOWN(('Balance Sheet'!E$3-$A57)/30,0)-'Cash Flow'!$M57)/'Cash Flow'!$N57))*$B57,$B57)-SUM($C57:C57)</f>
        <v>0</v>
      </c>
      <c r="E57" s="29">
        <f>MIN(IF(ROUNDDOWN(('Balance Sheet'!F$3-$A57)/30,0)&lt;='Cash Flow'!$M57,0,((ROUNDDOWN(('Balance Sheet'!F$3-$A57)/30,0)-'Cash Flow'!$M57)/'Cash Flow'!$N57))*$B57,$B57)-SUM($C57:D57)</f>
        <v>0</v>
      </c>
      <c r="F57" s="29">
        <f>MIN(IF(ROUNDDOWN(('Balance Sheet'!G$3-$A57)/30,0)&lt;='Cash Flow'!$M57,0,((ROUNDDOWN(('Balance Sheet'!G$3-$A57)/30,0)-'Cash Flow'!$M57)/'Cash Flow'!$N57))*$B57,$B57)-SUM($C57:E57)</f>
        <v>0</v>
      </c>
      <c r="G57" s="29">
        <f>MIN(IF(ROUNDDOWN(('Balance Sheet'!H$3-$A57)/30,0)&lt;='Cash Flow'!$M57,0,((ROUNDDOWN(('Balance Sheet'!H$3-$A57)/30,0)-'Cash Flow'!$M57)/'Cash Flow'!$N57))*$B57,$B57)-SUM($C57:F57)</f>
        <v>0</v>
      </c>
      <c r="H57" s="29">
        <f>MIN(IF(ROUNDDOWN(('Balance Sheet'!I$3-$A57)/30,0)&lt;='Cash Flow'!$M57,0,((ROUNDDOWN(('Balance Sheet'!I$3-$A57)/30,0)-'Cash Flow'!$M57)/'Cash Flow'!$N57))*$B57,$B57)-SUM($C57:G57)</f>
        <v>0</v>
      </c>
      <c r="I57" s="29">
        <f>MIN(IF(ROUNDDOWN(('Balance Sheet'!J$3-$A57)/30,0)&lt;='Cash Flow'!$M57,0,((ROUNDDOWN(('Balance Sheet'!J$3-$A57)/30,0)-'Cash Flow'!$M57)/'Cash Flow'!$N57))*$B57,$B57)-SUM($C57:H57)</f>
        <v>0</v>
      </c>
      <c r="J57" s="29">
        <f>MIN(IF(ROUNDDOWN(('Balance Sheet'!K$3-$A57)/30,0)&lt;='Cash Flow'!$M57,0,((ROUNDDOWN(('Balance Sheet'!K$3-$A57)/30,0)-'Cash Flow'!$M57)/'Cash Flow'!$N57))*$B57,$B57)-SUM($C57:I57)</f>
        <v>19.25</v>
      </c>
      <c r="K57" s="29">
        <f>MIN(IF(ROUNDDOWN(('Balance Sheet'!L$3-$A57)/30,0)&lt;='Cash Flow'!$M57,0,((ROUNDDOWN(('Balance Sheet'!L$3-$A57)/30,0)-'Cash Flow'!$M57)/'Cash Flow'!$N57))*$B57,$B57)-SUM($C57:J57)</f>
        <v>57.75</v>
      </c>
      <c r="L57" s="29">
        <f>MIN(IF(ROUNDDOWN(('Balance Sheet'!M$3-$A57)/30,0)&lt;='Cash Flow'!$M57,0,((ROUNDDOWN(('Balance Sheet'!M$3-$A57)/30,0)-'Cash Flow'!$M57)/'Cash Flow'!$N57))*$B57,$B57)-SUM($C57:K57)</f>
        <v>0</v>
      </c>
      <c r="M57" s="168">
        <v>24</v>
      </c>
      <c r="N57" s="169">
        <v>12</v>
      </c>
    </row>
    <row r="58" spans="1:14" x14ac:dyDescent="0.35">
      <c r="A58" s="93">
        <f t="shared" si="10"/>
        <v>46477</v>
      </c>
      <c r="B58" s="7">
        <v>77</v>
      </c>
      <c r="C58" s="29"/>
      <c r="D58" s="29">
        <f>MIN(IF(ROUNDDOWN(('Balance Sheet'!E$3-$A58)/30,0)&lt;='Cash Flow'!$M58,0,((ROUNDDOWN(('Balance Sheet'!E$3-$A58)/30,0)-'Cash Flow'!$M58)/'Cash Flow'!$N58))*$B58,$B58)-SUM($C58:C58)</f>
        <v>0</v>
      </c>
      <c r="E58" s="29">
        <f>MIN(IF(ROUNDDOWN(('Balance Sheet'!F$3-$A58)/30,0)&lt;='Cash Flow'!$M58,0,((ROUNDDOWN(('Balance Sheet'!F$3-$A58)/30,0)-'Cash Flow'!$M58)/'Cash Flow'!$N58))*$B58,$B58)-SUM($C58:D58)</f>
        <v>0</v>
      </c>
      <c r="F58" s="29">
        <f>MIN(IF(ROUNDDOWN(('Balance Sheet'!G$3-$A58)/30,0)&lt;='Cash Flow'!$M58,0,((ROUNDDOWN(('Balance Sheet'!G$3-$A58)/30,0)-'Cash Flow'!$M58)/'Cash Flow'!$N58))*$B58,$B58)-SUM($C58:E58)</f>
        <v>0</v>
      </c>
      <c r="G58" s="29">
        <f>MIN(IF(ROUNDDOWN(('Balance Sheet'!H$3-$A58)/30,0)&lt;='Cash Flow'!$M58,0,((ROUNDDOWN(('Balance Sheet'!H$3-$A58)/30,0)-'Cash Flow'!$M58)/'Cash Flow'!$N58))*$B58,$B58)-SUM($C58:F58)</f>
        <v>0</v>
      </c>
      <c r="H58" s="29">
        <f>MIN(IF(ROUNDDOWN(('Balance Sheet'!I$3-$A58)/30,0)&lt;='Cash Flow'!$M58,0,((ROUNDDOWN(('Balance Sheet'!I$3-$A58)/30,0)-'Cash Flow'!$M58)/'Cash Flow'!$N58))*$B58,$B58)-SUM($C58:G58)</f>
        <v>0</v>
      </c>
      <c r="I58" s="29">
        <f>MIN(IF(ROUNDDOWN(('Balance Sheet'!J$3-$A58)/30,0)&lt;='Cash Flow'!$M58,0,((ROUNDDOWN(('Balance Sheet'!J$3-$A58)/30,0)-'Cash Flow'!$M58)/'Cash Flow'!$N58))*$B58,$B58)-SUM($C58:H58)</f>
        <v>0</v>
      </c>
      <c r="J58" s="29">
        <f>MIN(IF(ROUNDDOWN(('Balance Sheet'!K$3-$A58)/30,0)&lt;='Cash Flow'!$M58,0,((ROUNDDOWN(('Balance Sheet'!K$3-$A58)/30,0)-'Cash Flow'!$M58)/'Cash Flow'!$N58))*$B58,$B58)-SUM($C58:I58)</f>
        <v>38.5</v>
      </c>
      <c r="K58" s="29">
        <f>MIN(IF(ROUNDDOWN(('Balance Sheet'!L$3-$A58)/30,0)&lt;='Cash Flow'!$M58,0,((ROUNDDOWN(('Balance Sheet'!L$3-$A58)/30,0)-'Cash Flow'!$M58)/'Cash Flow'!$N58))*$B58,$B58)-SUM($C58:J58)</f>
        <v>38.5</v>
      </c>
      <c r="L58" s="29">
        <f>MIN(IF(ROUNDDOWN(('Balance Sheet'!M$3-$A58)/30,0)&lt;='Cash Flow'!$M58,0,((ROUNDDOWN(('Balance Sheet'!M$3-$A58)/30,0)-'Cash Flow'!$M58)/'Cash Flow'!$N58))*$B58,$B58)-SUM($C58:K58)</f>
        <v>0</v>
      </c>
      <c r="M58" s="168">
        <v>18</v>
      </c>
      <c r="N58" s="169">
        <v>12</v>
      </c>
    </row>
    <row r="59" spans="1:14" x14ac:dyDescent="0.35">
      <c r="A59" s="93">
        <f t="shared" si="10"/>
        <v>46568</v>
      </c>
      <c r="B59" s="7">
        <v>48</v>
      </c>
      <c r="C59" s="29"/>
      <c r="D59" s="29">
        <f>MIN(IF(ROUNDDOWN(('Balance Sheet'!E$3-$A59)/30,0)&lt;='Cash Flow'!$M59,0,((ROUNDDOWN(('Balance Sheet'!E$3-$A59)/30,0)-'Cash Flow'!$M59)/'Cash Flow'!$N59))*$B59,$B59)-SUM($C59:C59)</f>
        <v>0</v>
      </c>
      <c r="E59" s="29">
        <f>MIN(IF(ROUNDDOWN(('Balance Sheet'!F$3-$A59)/30,0)&lt;='Cash Flow'!$M59,0,((ROUNDDOWN(('Balance Sheet'!F$3-$A59)/30,0)-'Cash Flow'!$M59)/'Cash Flow'!$N59))*$B59,$B59)-SUM($C59:D59)</f>
        <v>0</v>
      </c>
      <c r="F59" s="29">
        <f>MIN(IF(ROUNDDOWN(('Balance Sheet'!G$3-$A59)/30,0)&lt;='Cash Flow'!$M59,0,((ROUNDDOWN(('Balance Sheet'!G$3-$A59)/30,0)-'Cash Flow'!$M59)/'Cash Flow'!$N59))*$B59,$B59)-SUM($C59:E59)</f>
        <v>0</v>
      </c>
      <c r="G59" s="29">
        <f>MIN(IF(ROUNDDOWN(('Balance Sheet'!H$3-$A59)/30,0)&lt;='Cash Flow'!$M59,0,((ROUNDDOWN(('Balance Sheet'!H$3-$A59)/30,0)-'Cash Flow'!$M59)/'Cash Flow'!$N59))*$B59,$B59)-SUM($C59:F59)</f>
        <v>0</v>
      </c>
      <c r="H59" s="29">
        <f>MIN(IF(ROUNDDOWN(('Balance Sheet'!I$3-$A59)/30,0)&lt;='Cash Flow'!$M59,0,((ROUNDDOWN(('Balance Sheet'!I$3-$A59)/30,0)-'Cash Flow'!$M59)/'Cash Flow'!$N59))*$B59,$B59)-SUM($C59:G59)</f>
        <v>0</v>
      </c>
      <c r="I59" s="29">
        <f>MIN(IF(ROUNDDOWN(('Balance Sheet'!J$3-$A59)/30,0)&lt;='Cash Flow'!$M59,0,((ROUNDDOWN(('Balance Sheet'!J$3-$A59)/30,0)-'Cash Flow'!$M59)/'Cash Flow'!$N59))*$B59,$B59)-SUM($C59:H59)</f>
        <v>0</v>
      </c>
      <c r="J59" s="29">
        <f>MIN(IF(ROUNDDOWN(('Balance Sheet'!K$3-$A59)/30,0)&lt;='Cash Flow'!$M59,0,((ROUNDDOWN(('Balance Sheet'!K$3-$A59)/30,0)-'Cash Flow'!$M59)/'Cash Flow'!$N59))*$B59,$B59)-SUM($C59:I59)</f>
        <v>36</v>
      </c>
      <c r="K59" s="29">
        <f>MIN(IF(ROUNDDOWN(('Balance Sheet'!L$3-$A59)/30,0)&lt;='Cash Flow'!$M59,0,((ROUNDDOWN(('Balance Sheet'!L$3-$A59)/30,0)-'Cash Flow'!$M59)/'Cash Flow'!$N59))*$B59,$B59)-SUM($C59:J59)</f>
        <v>12</v>
      </c>
      <c r="L59" s="29">
        <f>MIN(IF(ROUNDDOWN(('Balance Sheet'!M$3-$A59)/30,0)&lt;='Cash Flow'!$M59,0,((ROUNDDOWN(('Balance Sheet'!M$3-$A59)/30,0)-'Cash Flow'!$M59)/'Cash Flow'!$N59))*$B59,$B59)-SUM($C59:K59)</f>
        <v>0</v>
      </c>
      <c r="M59" s="168">
        <v>12</v>
      </c>
      <c r="N59" s="169">
        <v>12</v>
      </c>
    </row>
    <row r="60" spans="1:14" x14ac:dyDescent="0.35">
      <c r="A60" s="93">
        <f t="shared" si="10"/>
        <v>46660</v>
      </c>
      <c r="B60" s="7">
        <v>48</v>
      </c>
      <c r="C60" s="29"/>
      <c r="D60" s="29">
        <f>MIN(IF(ROUNDDOWN(('Balance Sheet'!E$3-$A60)/30,0)&lt;='Cash Flow'!$M60,0,((ROUNDDOWN(('Balance Sheet'!E$3-$A60)/30,0)-'Cash Flow'!$M60)/'Cash Flow'!$N60))*$B60,$B60)-SUM($C60:C60)</f>
        <v>0</v>
      </c>
      <c r="E60" s="29">
        <f>MIN(IF(ROUNDDOWN(('Balance Sheet'!F$3-$A60)/30,0)&lt;='Cash Flow'!$M60,0,((ROUNDDOWN(('Balance Sheet'!F$3-$A60)/30,0)-'Cash Flow'!$M60)/'Cash Flow'!$N60))*$B60,$B60)-SUM($C60:D60)</f>
        <v>0</v>
      </c>
      <c r="F60" s="29">
        <f>MIN(IF(ROUNDDOWN(('Balance Sheet'!G$3-$A60)/30,0)&lt;='Cash Flow'!$M60,0,((ROUNDDOWN(('Balance Sheet'!G$3-$A60)/30,0)-'Cash Flow'!$M60)/'Cash Flow'!$N60))*$B60,$B60)-SUM($C60:E60)</f>
        <v>0</v>
      </c>
      <c r="G60" s="29">
        <f>MIN(IF(ROUNDDOWN(('Balance Sheet'!H$3-$A60)/30,0)&lt;='Cash Flow'!$M60,0,((ROUNDDOWN(('Balance Sheet'!H$3-$A60)/30,0)-'Cash Flow'!$M60)/'Cash Flow'!$N60))*$B60,$B60)-SUM($C60:F60)</f>
        <v>0</v>
      </c>
      <c r="H60" s="29">
        <f>MIN(IF(ROUNDDOWN(('Balance Sheet'!I$3-$A60)/30,0)&lt;='Cash Flow'!$M60,0,((ROUNDDOWN(('Balance Sheet'!I$3-$A60)/30,0)-'Cash Flow'!$M60)/'Cash Flow'!$N60))*$B60,$B60)-SUM($C60:G60)</f>
        <v>0</v>
      </c>
      <c r="I60" s="29">
        <f>MIN(IF(ROUNDDOWN(('Balance Sheet'!J$3-$A60)/30,0)&lt;='Cash Flow'!$M60,0,((ROUNDDOWN(('Balance Sheet'!J$3-$A60)/30,0)-'Cash Flow'!$M60)/'Cash Flow'!$N60))*$B60,$B60)-SUM($C60:H60)</f>
        <v>0</v>
      </c>
      <c r="J60" s="29">
        <f>MIN(IF(ROUNDDOWN(('Balance Sheet'!K$3-$A60)/30,0)&lt;='Cash Flow'!$M60,0,((ROUNDDOWN(('Balance Sheet'!K$3-$A60)/30,0)-'Cash Flow'!$M60)/'Cash Flow'!$N60))*$B60,$B60)-SUM($C60:I60)</f>
        <v>24</v>
      </c>
      <c r="K60" s="29">
        <f>MIN(IF(ROUNDDOWN(('Balance Sheet'!L$3-$A60)/30,0)&lt;='Cash Flow'!$M60,0,((ROUNDDOWN(('Balance Sheet'!L$3-$A60)/30,0)-'Cash Flow'!$M60)/'Cash Flow'!$N60))*$B60,$B60)-SUM($C60:J60)</f>
        <v>24</v>
      </c>
      <c r="L60" s="29">
        <f>MIN(IF(ROUNDDOWN(('Balance Sheet'!M$3-$A60)/30,0)&lt;='Cash Flow'!$M60,0,((ROUNDDOWN(('Balance Sheet'!M$3-$A60)/30,0)-'Cash Flow'!$M60)/'Cash Flow'!$N60))*$B60,$B60)-SUM($C60:K60)</f>
        <v>0</v>
      </c>
      <c r="M60" s="168">
        <v>12</v>
      </c>
      <c r="N60" s="169">
        <v>12</v>
      </c>
    </row>
    <row r="61" spans="1:14" x14ac:dyDescent="0.35">
      <c r="A61" s="93">
        <f t="shared" si="10"/>
        <v>46752</v>
      </c>
      <c r="B61" s="7">
        <v>48</v>
      </c>
      <c r="C61" s="29"/>
      <c r="D61" s="29">
        <f>MIN(IF(ROUNDDOWN(('Balance Sheet'!E$3-$A61)/30,0)&lt;='Cash Flow'!$M61,0,((ROUNDDOWN(('Balance Sheet'!E$3-$A61)/30,0)-'Cash Flow'!$M61)/'Cash Flow'!$N61))*$B61,$B61)-SUM($C61:C61)</f>
        <v>0</v>
      </c>
      <c r="E61" s="29">
        <f>MIN(IF(ROUNDDOWN(('Balance Sheet'!F$3-$A61)/30,0)&lt;='Cash Flow'!$M61,0,((ROUNDDOWN(('Balance Sheet'!F$3-$A61)/30,0)-'Cash Flow'!$M61)/'Cash Flow'!$N61))*$B61,$B61)-SUM($C61:D61)</f>
        <v>0</v>
      </c>
      <c r="F61" s="29">
        <f>MIN(IF(ROUNDDOWN(('Balance Sheet'!G$3-$A61)/30,0)&lt;='Cash Flow'!$M61,0,((ROUNDDOWN(('Balance Sheet'!G$3-$A61)/30,0)-'Cash Flow'!$M61)/'Cash Flow'!$N61))*$B61,$B61)-SUM($C61:E61)</f>
        <v>0</v>
      </c>
      <c r="G61" s="29">
        <f>MIN(IF(ROUNDDOWN(('Balance Sheet'!H$3-$A61)/30,0)&lt;='Cash Flow'!$M61,0,((ROUNDDOWN(('Balance Sheet'!H$3-$A61)/30,0)-'Cash Flow'!$M61)/'Cash Flow'!$N61))*$B61,$B61)-SUM($C61:F61)</f>
        <v>0</v>
      </c>
      <c r="H61" s="29">
        <f>MIN(IF(ROUNDDOWN(('Balance Sheet'!I$3-$A61)/30,0)&lt;='Cash Flow'!$M61,0,((ROUNDDOWN(('Balance Sheet'!I$3-$A61)/30,0)-'Cash Flow'!$M61)/'Cash Flow'!$N61))*$B61,$B61)-SUM($C61:G61)</f>
        <v>0</v>
      </c>
      <c r="I61" s="29">
        <f>MIN(IF(ROUNDDOWN(('Balance Sheet'!J$3-$A61)/30,0)&lt;='Cash Flow'!$M61,0,((ROUNDDOWN(('Balance Sheet'!J$3-$A61)/30,0)-'Cash Flow'!$M61)/'Cash Flow'!$N61))*$B61,$B61)-SUM($C61:H61)</f>
        <v>0</v>
      </c>
      <c r="J61" s="29">
        <f>MIN(IF(ROUNDDOWN(('Balance Sheet'!K$3-$A61)/30,0)&lt;='Cash Flow'!$M61,0,((ROUNDDOWN(('Balance Sheet'!K$3-$A61)/30,0)-'Cash Flow'!$M61)/'Cash Flow'!$N61))*$B61,$B61)-SUM($C61:I61)</f>
        <v>12</v>
      </c>
      <c r="K61" s="29">
        <f>MIN(IF(ROUNDDOWN(('Balance Sheet'!L$3-$A61)/30,0)&lt;='Cash Flow'!$M61,0,((ROUNDDOWN(('Balance Sheet'!L$3-$A61)/30,0)-'Cash Flow'!$M61)/'Cash Flow'!$N61))*$B61,$B61)-SUM($C61:J61)</f>
        <v>36</v>
      </c>
      <c r="L61" s="29">
        <f>MIN(IF(ROUNDDOWN(('Balance Sheet'!M$3-$A61)/30,0)&lt;='Cash Flow'!$M61,0,((ROUNDDOWN(('Balance Sheet'!M$3-$A61)/30,0)-'Cash Flow'!$M61)/'Cash Flow'!$N61))*$B61,$B61)-SUM($C61:K61)</f>
        <v>0</v>
      </c>
      <c r="M61" s="168">
        <v>12</v>
      </c>
      <c r="N61" s="169">
        <v>12</v>
      </c>
    </row>
    <row r="62" spans="1:14" x14ac:dyDescent="0.35">
      <c r="A62" s="93">
        <f t="shared" si="10"/>
        <v>46843</v>
      </c>
      <c r="B62" s="7">
        <v>48</v>
      </c>
      <c r="C62" s="29"/>
      <c r="D62" s="29">
        <f>MIN(IF(ROUNDDOWN(('Balance Sheet'!E$3-$A62)/30,0)&lt;='Cash Flow'!$M62,0,((ROUNDDOWN(('Balance Sheet'!E$3-$A62)/30,0)-'Cash Flow'!$M62)/'Cash Flow'!$N62))*$B62,$B62)-SUM($C62:C62)</f>
        <v>0</v>
      </c>
      <c r="E62" s="29">
        <f>MIN(IF(ROUNDDOWN(('Balance Sheet'!F$3-$A62)/30,0)&lt;='Cash Flow'!$M62,0,((ROUNDDOWN(('Balance Sheet'!F$3-$A62)/30,0)-'Cash Flow'!$M62)/'Cash Flow'!$N62))*$B62,$B62)-SUM($C62:D62)</f>
        <v>0</v>
      </c>
      <c r="F62" s="29">
        <f>MIN(IF(ROUNDDOWN(('Balance Sheet'!G$3-$A62)/30,0)&lt;='Cash Flow'!$M62,0,((ROUNDDOWN(('Balance Sheet'!G$3-$A62)/30,0)-'Cash Flow'!$M62)/'Cash Flow'!$N62))*$B62,$B62)-SUM($C62:E62)</f>
        <v>0</v>
      </c>
      <c r="G62" s="29">
        <f>MIN(IF(ROUNDDOWN(('Balance Sheet'!H$3-$A62)/30,0)&lt;='Cash Flow'!$M62,0,((ROUNDDOWN(('Balance Sheet'!H$3-$A62)/30,0)-'Cash Flow'!$M62)/'Cash Flow'!$N62))*$B62,$B62)-SUM($C62:F62)</f>
        <v>0</v>
      </c>
      <c r="H62" s="29">
        <f>MIN(IF(ROUNDDOWN(('Balance Sheet'!I$3-$A62)/30,0)&lt;='Cash Flow'!$M62,0,((ROUNDDOWN(('Balance Sheet'!I$3-$A62)/30,0)-'Cash Flow'!$M62)/'Cash Flow'!$N62))*$B62,$B62)-SUM($C62:G62)</f>
        <v>0</v>
      </c>
      <c r="I62" s="29">
        <f>MIN(IF(ROUNDDOWN(('Balance Sheet'!J$3-$A62)/30,0)&lt;='Cash Flow'!$M62,0,((ROUNDDOWN(('Balance Sheet'!J$3-$A62)/30,0)-'Cash Flow'!$M62)/'Cash Flow'!$N62))*$B62,$B62)-SUM($C62:H62)</f>
        <v>0</v>
      </c>
      <c r="J62" s="29">
        <f>MIN(IF(ROUNDDOWN(('Balance Sheet'!K$3-$A62)/30,0)&lt;='Cash Flow'!$M62,0,((ROUNDDOWN(('Balance Sheet'!K$3-$A62)/30,0)-'Cash Flow'!$M62)/'Cash Flow'!$N62))*$B62,$B62)-SUM($C62:I62)</f>
        <v>0</v>
      </c>
      <c r="K62" s="29">
        <f>MIN(IF(ROUNDDOWN(('Balance Sheet'!L$3-$A62)/30,0)&lt;='Cash Flow'!$M62,0,((ROUNDDOWN(('Balance Sheet'!L$3-$A62)/30,0)-'Cash Flow'!$M62)/'Cash Flow'!$N62))*$B62,$B62)-SUM($C62:J62)</f>
        <v>48</v>
      </c>
      <c r="L62" s="29">
        <f>MIN(IF(ROUNDDOWN(('Balance Sheet'!M$3-$A62)/30,0)&lt;='Cash Flow'!$M62,0,((ROUNDDOWN(('Balance Sheet'!M$3-$A62)/30,0)-'Cash Flow'!$M62)/'Cash Flow'!$N62))*$B62,$B62)-SUM($C62:K62)</f>
        <v>0</v>
      </c>
      <c r="M62" s="170">
        <v>12</v>
      </c>
      <c r="N62" s="171">
        <v>12</v>
      </c>
    </row>
    <row r="63" spans="1:14" x14ac:dyDescent="0.35">
      <c r="A63" s="93"/>
      <c r="B63" s="7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4" x14ac:dyDescent="0.35">
      <c r="A64" s="93"/>
      <c r="B64" s="7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35">
      <c r="A65" t="s">
        <v>75</v>
      </c>
      <c r="C65" s="29">
        <f t="shared" ref="C65:L65" si="11">C33+C34-C35</f>
        <v>100</v>
      </c>
      <c r="D65" s="29">
        <f t="shared" si="11"/>
        <v>220</v>
      </c>
      <c r="E65" s="29">
        <f t="shared" si="11"/>
        <v>551</v>
      </c>
      <c r="F65" s="29">
        <f t="shared" si="11"/>
        <v>894</v>
      </c>
      <c r="G65" s="29">
        <f t="shared" si="11"/>
        <v>1086.5</v>
      </c>
      <c r="H65" s="29">
        <f t="shared" si="11"/>
        <v>1220</v>
      </c>
      <c r="I65" s="29">
        <f t="shared" si="11"/>
        <v>1107.5833333333333</v>
      </c>
      <c r="J65" s="29">
        <f t="shared" si="11"/>
        <v>499</v>
      </c>
      <c r="K65" s="29">
        <f t="shared" si="11"/>
        <v>0</v>
      </c>
      <c r="L65" s="29">
        <f t="shared" si="11"/>
        <v>0</v>
      </c>
    </row>
    <row r="66" spans="1:12" x14ac:dyDescent="0.35"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35">
      <c r="A67" t="s">
        <v>8</v>
      </c>
      <c r="B67" s="64">
        <f>BA!$C$134</f>
        <v>0.06</v>
      </c>
      <c r="C67" s="29">
        <f>C34*$B$67*3/12</f>
        <v>1.5</v>
      </c>
      <c r="D67" s="29">
        <f t="shared" ref="D67:L67" si="12">AVERAGE(C65:D65)*$B67</f>
        <v>9.6</v>
      </c>
      <c r="E67" s="29">
        <f t="shared" si="12"/>
        <v>23.13</v>
      </c>
      <c r="F67" s="29">
        <f t="shared" si="12"/>
        <v>43.35</v>
      </c>
      <c r="G67" s="29">
        <f t="shared" si="12"/>
        <v>59.414999999999999</v>
      </c>
      <c r="H67" s="29">
        <f t="shared" si="12"/>
        <v>69.194999999999993</v>
      </c>
      <c r="I67" s="29">
        <f t="shared" si="12"/>
        <v>69.827499999999986</v>
      </c>
      <c r="J67" s="29">
        <f t="shared" si="12"/>
        <v>48.197499999999998</v>
      </c>
      <c r="K67" s="29">
        <f t="shared" si="12"/>
        <v>14.969999999999999</v>
      </c>
      <c r="L67" s="29">
        <f t="shared" si="1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showGridLines="0" topLeftCell="C1" workbookViewId="0">
      <pane ySplit="3" topLeftCell="A4" activePane="bottomLeft" state="frozen"/>
      <selection pane="bottomLeft" activeCell="F33" sqref="F33"/>
    </sheetView>
  </sheetViews>
  <sheetFormatPr defaultRowHeight="14.5" x14ac:dyDescent="0.35"/>
  <cols>
    <col min="1" max="1" width="2.7265625" customWidth="1"/>
    <col min="2" max="2" width="25" customWidth="1"/>
    <col min="3" max="3" width="8.7265625" customWidth="1"/>
    <col min="4" max="4" width="9.7265625" customWidth="1"/>
    <col min="5" max="14" width="12.81640625" customWidth="1"/>
    <col min="15" max="15" width="12.1796875" bestFit="1" customWidth="1"/>
  </cols>
  <sheetData>
    <row r="1" spans="2:24" ht="18.5" x14ac:dyDescent="0.45">
      <c r="B1" s="140" t="s">
        <v>68</v>
      </c>
    </row>
    <row r="2" spans="2:24" x14ac:dyDescent="0.35">
      <c r="B2" s="1"/>
      <c r="N2" s="141" t="s">
        <v>31</v>
      </c>
    </row>
    <row r="3" spans="2:24" x14ac:dyDescent="0.35">
      <c r="B3" s="26" t="s">
        <v>44</v>
      </c>
      <c r="C3" s="26"/>
      <c r="D3" s="26"/>
      <c r="E3" s="71">
        <v>44651</v>
      </c>
      <c r="F3" s="71">
        <v>45016</v>
      </c>
      <c r="G3" s="71">
        <v>45382</v>
      </c>
      <c r="H3" s="71">
        <v>45747</v>
      </c>
      <c r="I3" s="71">
        <v>46112</v>
      </c>
      <c r="J3" s="71">
        <v>46477</v>
      </c>
      <c r="K3" s="71">
        <v>46843</v>
      </c>
      <c r="L3" s="71">
        <v>47208</v>
      </c>
      <c r="M3" s="71">
        <v>47573</v>
      </c>
      <c r="N3" s="71">
        <v>47938</v>
      </c>
    </row>
    <row r="4" spans="2:24" s="2" customFormat="1" x14ac:dyDescent="0.35">
      <c r="B4" s="142"/>
      <c r="C4" s="5"/>
      <c r="D4" s="214"/>
      <c r="E4" s="214" t="s">
        <v>295</v>
      </c>
      <c r="F4" s="214" t="s">
        <v>298</v>
      </c>
      <c r="G4" s="214" t="s">
        <v>297</v>
      </c>
      <c r="H4" s="214" t="s">
        <v>299</v>
      </c>
      <c r="I4" s="214" t="s">
        <v>300</v>
      </c>
      <c r="J4" s="214" t="s">
        <v>301</v>
      </c>
      <c r="K4" s="214" t="s">
        <v>302</v>
      </c>
      <c r="L4" s="214" t="s">
        <v>303</v>
      </c>
      <c r="M4" s="214" t="s">
        <v>304</v>
      </c>
      <c r="N4" s="214" t="s">
        <v>305</v>
      </c>
    </row>
    <row r="5" spans="2:24" x14ac:dyDescent="0.35">
      <c r="B5" t="s">
        <v>260</v>
      </c>
      <c r="C5" t="s">
        <v>0</v>
      </c>
      <c r="E5" s="139">
        <v>1.8</v>
      </c>
      <c r="F5" s="139">
        <v>8.6999999999999993</v>
      </c>
      <c r="G5" s="139">
        <v>30</v>
      </c>
      <c r="H5" s="139">
        <v>48.594000000000001</v>
      </c>
      <c r="I5" s="139">
        <v>65.093999999999994</v>
      </c>
      <c r="J5" s="139">
        <v>79.494</v>
      </c>
      <c r="K5" s="139">
        <v>93.894000000000005</v>
      </c>
      <c r="L5" s="139">
        <v>93.894000000000005</v>
      </c>
      <c r="M5" s="139">
        <v>93.894000000000005</v>
      </c>
      <c r="N5" s="139">
        <v>93.894000000000005</v>
      </c>
      <c r="O5" s="9"/>
    </row>
    <row r="6" spans="2:24" x14ac:dyDescent="0.35">
      <c r="B6" t="s">
        <v>259</v>
      </c>
      <c r="C6" t="s">
        <v>0</v>
      </c>
      <c r="E6" s="139">
        <v>0.85499999999999998</v>
      </c>
      <c r="F6" s="139">
        <v>3.58</v>
      </c>
      <c r="G6" s="139">
        <v>11.9</v>
      </c>
      <c r="H6" s="139">
        <v>25.52</v>
      </c>
      <c r="I6" s="139">
        <v>43.67</v>
      </c>
      <c r="J6" s="139">
        <v>59.893999999999991</v>
      </c>
      <c r="K6" s="139">
        <v>74.293999999999997</v>
      </c>
      <c r="L6" s="139">
        <v>87.093999999999994</v>
      </c>
      <c r="M6" s="139">
        <v>93.894000000000005</v>
      </c>
      <c r="N6" s="139">
        <v>93.894000000000005</v>
      </c>
      <c r="O6" s="9"/>
    </row>
    <row r="7" spans="2:24" x14ac:dyDescent="0.35">
      <c r="B7" t="s">
        <v>45</v>
      </c>
      <c r="C7" t="s">
        <v>18</v>
      </c>
      <c r="E7" s="7">
        <f>BA!D55</f>
        <v>600</v>
      </c>
      <c r="F7" s="7">
        <f>BA!E55</f>
        <v>1900</v>
      </c>
      <c r="G7" s="7">
        <f>BA!F55</f>
        <v>5600</v>
      </c>
      <c r="H7" s="7">
        <f>BA!G55</f>
        <v>8798</v>
      </c>
      <c r="I7" s="7">
        <f>BA!H55</f>
        <v>11548</v>
      </c>
      <c r="J7" s="7">
        <f>BA!I55</f>
        <v>13948</v>
      </c>
      <c r="K7" s="7">
        <f>BA!J55</f>
        <v>16348</v>
      </c>
      <c r="L7" s="7">
        <f>BA!K55</f>
        <v>16348</v>
      </c>
      <c r="M7" s="7">
        <f>BA!L55</f>
        <v>16348</v>
      </c>
      <c r="N7" s="7">
        <f>BA!M55</f>
        <v>16348</v>
      </c>
    </row>
    <row r="8" spans="2:24" x14ac:dyDescent="0.35">
      <c r="B8" s="16" t="s">
        <v>98</v>
      </c>
      <c r="C8" s="16" t="s">
        <v>18</v>
      </c>
      <c r="D8" s="16"/>
      <c r="E8" s="19">
        <f>Input!D6</f>
        <v>360</v>
      </c>
      <c r="F8" s="19">
        <f>Input!E6</f>
        <v>1016.6666666666666</v>
      </c>
      <c r="G8" s="19">
        <f>Input!F6</f>
        <v>2523.333333333333</v>
      </c>
      <c r="H8" s="19">
        <f>Input!G6</f>
        <v>4973.333333333333</v>
      </c>
      <c r="I8" s="19">
        <f>Input!H6</f>
        <v>8106.333333333333</v>
      </c>
      <c r="J8" s="19">
        <f>Input!I6</f>
        <v>10681.333333333332</v>
      </c>
      <c r="K8" s="19">
        <f>Input!J6</f>
        <v>13081.333333333334</v>
      </c>
      <c r="L8" s="19">
        <f>Input!K6</f>
        <v>15214.666666666666</v>
      </c>
      <c r="M8" s="19">
        <f>Input!L6</f>
        <v>16348</v>
      </c>
      <c r="N8" s="19">
        <f>Input!M6</f>
        <v>16348</v>
      </c>
    </row>
    <row r="9" spans="2:24" x14ac:dyDescent="0.35"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2:24" x14ac:dyDescent="0.35">
      <c r="B10" t="s">
        <v>284</v>
      </c>
      <c r="C10" t="s">
        <v>48</v>
      </c>
      <c r="E10" s="29">
        <f>Input!D8+Input!D26</f>
        <v>32.116565625</v>
      </c>
      <c r="F10" s="29">
        <f>Input!E8+Input!E26</f>
        <v>108.3648271784989</v>
      </c>
      <c r="G10" s="29">
        <f>Input!F8+Input!F26</f>
        <v>244.00261307148395</v>
      </c>
      <c r="H10" s="29">
        <f>Input!G8+Input!G26</f>
        <v>497.45669048797299</v>
      </c>
      <c r="I10" s="29">
        <f>Input!H8+Input!H26</f>
        <v>856.0107545361634</v>
      </c>
      <c r="J10" s="29">
        <f>Input!I8+Input!I26</f>
        <v>1207.3784695747327</v>
      </c>
      <c r="K10" s="29">
        <f>Input!J8+Input!J26</f>
        <v>1537.5480506504537</v>
      </c>
      <c r="L10" s="29">
        <f>Input!K8+Input!K26</f>
        <v>1853.0510947871917</v>
      </c>
      <c r="M10" s="29">
        <f>Input!L8+Input!L26</f>
        <v>2100.6697473176882</v>
      </c>
      <c r="N10" s="29">
        <f>Input!M8+Input!M26</f>
        <v>2221.3810997929559</v>
      </c>
      <c r="O10" s="20"/>
      <c r="P10" s="3"/>
      <c r="Q10" s="3"/>
      <c r="R10" s="3"/>
      <c r="S10" s="3"/>
      <c r="T10" s="3"/>
      <c r="U10" s="3"/>
      <c r="V10" s="3"/>
      <c r="W10" s="3"/>
      <c r="X10" s="3"/>
    </row>
    <row r="11" spans="2:24" x14ac:dyDescent="0.35"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0"/>
      <c r="P11" s="3"/>
      <c r="Q11" s="3"/>
      <c r="R11" s="3"/>
      <c r="S11" s="3"/>
      <c r="T11" s="3"/>
      <c r="U11" s="3"/>
      <c r="V11" s="3"/>
      <c r="W11" s="3"/>
      <c r="X11" s="3"/>
    </row>
    <row r="12" spans="2:24" s="1" customFormat="1" x14ac:dyDescent="0.35">
      <c r="B12" s="27" t="s">
        <v>46</v>
      </c>
      <c r="C12" s="25" t="s">
        <v>48</v>
      </c>
      <c r="D12" s="25"/>
      <c r="E12" s="41">
        <f>SUM(E10:E10)</f>
        <v>32.116565625</v>
      </c>
      <c r="F12" s="41">
        <f t="shared" ref="F12:N12" si="0">SUM(F10:F11)</f>
        <v>108.3648271784989</v>
      </c>
      <c r="G12" s="41">
        <f t="shared" si="0"/>
        <v>244.00261307148395</v>
      </c>
      <c r="H12" s="41">
        <f t="shared" si="0"/>
        <v>497.45669048797299</v>
      </c>
      <c r="I12" s="41">
        <f t="shared" si="0"/>
        <v>856.0107545361634</v>
      </c>
      <c r="J12" s="41">
        <f t="shared" si="0"/>
        <v>1207.3784695747327</v>
      </c>
      <c r="K12" s="41">
        <f t="shared" si="0"/>
        <v>1537.5480506504537</v>
      </c>
      <c r="L12" s="41">
        <f t="shared" si="0"/>
        <v>1853.0510947871917</v>
      </c>
      <c r="M12" s="41">
        <f t="shared" si="0"/>
        <v>2100.6697473176882</v>
      </c>
      <c r="N12" s="41">
        <f t="shared" si="0"/>
        <v>2221.3810997929559</v>
      </c>
      <c r="O12" s="20"/>
    </row>
    <row r="13" spans="2:24" x14ac:dyDescent="0.35"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0"/>
    </row>
    <row r="14" spans="2:24" x14ac:dyDescent="0.35">
      <c r="B14" s="1" t="s">
        <v>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0"/>
    </row>
    <row r="15" spans="2:24" x14ac:dyDescent="0.35">
      <c r="B15" s="87" t="s">
        <v>235</v>
      </c>
      <c r="C15" t="s">
        <v>48</v>
      </c>
      <c r="E15" s="29">
        <f>BA!D116/10^7</f>
        <v>0.73499999999999999</v>
      </c>
      <c r="F15" s="29">
        <f>BA!E116/10^7</f>
        <v>1.47</v>
      </c>
      <c r="G15" s="29">
        <f>BA!F116/10^7</f>
        <v>1.5435000000000001</v>
      </c>
      <c r="H15" s="29">
        <f>BA!G116/10^7</f>
        <v>1.6206750000000001</v>
      </c>
      <c r="I15" s="29">
        <f>BA!H116/10^7</f>
        <v>1.7017087500000001</v>
      </c>
      <c r="J15" s="29">
        <f>BA!I116/10^7</f>
        <v>1.7867941875</v>
      </c>
      <c r="K15" s="29">
        <f>BA!J116/10^7</f>
        <v>1.8761338968750001</v>
      </c>
      <c r="L15" s="29">
        <f>BA!K116/10^7</f>
        <v>1.96994059171875</v>
      </c>
      <c r="M15" s="29">
        <f>BA!L116/10^7</f>
        <v>2.0684376213046876</v>
      </c>
      <c r="N15" s="29">
        <f>BA!M116/10^7</f>
        <v>2.1718595023699221</v>
      </c>
      <c r="O15" s="20"/>
    </row>
    <row r="16" spans="2:24" x14ac:dyDescent="0.35">
      <c r="B16" t="s">
        <v>3</v>
      </c>
      <c r="C16" t="s">
        <v>48</v>
      </c>
      <c r="E16" s="29">
        <f>Input!D18</f>
        <v>4.6488266867647052</v>
      </c>
      <c r="F16" s="29">
        <f>Input!E18</f>
        <v>22.483853343000003</v>
      </c>
      <c r="G16" s="29">
        <f>Input!F18</f>
        <v>74.402608425073268</v>
      </c>
      <c r="H16" s="29">
        <f>Input!G18</f>
        <v>177.14988592397077</v>
      </c>
      <c r="I16" s="29">
        <f>Input!H18</f>
        <v>327.54479017542786</v>
      </c>
      <c r="J16" s="29">
        <f>Input!I18</f>
        <v>490.14476170411371</v>
      </c>
      <c r="K16" s="29">
        <f>Input!J18</f>
        <v>641.1458617456401</v>
      </c>
      <c r="L16" s="29">
        <f>Input!K18</f>
        <v>783.57964402432651</v>
      </c>
      <c r="M16" s="29">
        <f>Input!L18</f>
        <v>893.09229106193686</v>
      </c>
      <c r="N16" s="29">
        <f>Input!M18</f>
        <v>943.87004528530247</v>
      </c>
      <c r="O16" s="20"/>
      <c r="P16" s="3"/>
      <c r="Q16" s="3"/>
      <c r="R16" s="3"/>
      <c r="S16" s="3"/>
      <c r="T16" s="3"/>
      <c r="U16" s="3"/>
      <c r="V16" s="3"/>
      <c r="W16" s="3"/>
      <c r="X16" s="3"/>
    </row>
    <row r="17" spans="2:25" x14ac:dyDescent="0.35">
      <c r="B17" t="s">
        <v>4</v>
      </c>
      <c r="C17" t="s">
        <v>48</v>
      </c>
      <c r="E17" s="29">
        <f>BA!D87</f>
        <v>7.66</v>
      </c>
      <c r="F17" s="29">
        <f>BA!E87</f>
        <v>33.261839999999999</v>
      </c>
      <c r="G17" s="29">
        <f>BA!F87</f>
        <v>45.762537600000002</v>
      </c>
      <c r="H17" s="29">
        <f>BA!G87</f>
        <v>55.392056064000002</v>
      </c>
      <c r="I17" s="29">
        <f>BA!H87</f>
        <v>61.78524562944002</v>
      </c>
      <c r="J17" s="29">
        <f>BA!I87</f>
        <v>66.728065279795203</v>
      </c>
      <c r="K17" s="29">
        <f>BA!J87</f>
        <v>72.066310502178851</v>
      </c>
      <c r="L17" s="29">
        <f>BA!K87</f>
        <v>77.83161534235316</v>
      </c>
      <c r="M17" s="29">
        <f>BA!L87</f>
        <v>84.058144569741401</v>
      </c>
      <c r="N17" s="29">
        <f>BA!M87</f>
        <v>90.782796135320723</v>
      </c>
      <c r="O17" s="20"/>
      <c r="P17" s="3"/>
      <c r="Q17" s="3"/>
      <c r="R17" s="3"/>
      <c r="S17" s="3"/>
      <c r="T17" s="3"/>
      <c r="U17" s="3"/>
      <c r="V17" s="3"/>
      <c r="W17" s="3"/>
      <c r="X17" s="3"/>
    </row>
    <row r="18" spans="2:25" x14ac:dyDescent="0.35">
      <c r="B18" t="s">
        <v>228</v>
      </c>
      <c r="C18" t="s">
        <v>48</v>
      </c>
      <c r="E18" s="29">
        <f>Input!D59</f>
        <v>7.1529492187499999</v>
      </c>
      <c r="F18" s="29">
        <f>Input!E59</f>
        <v>21.343214151820703</v>
      </c>
      <c r="G18" s="29">
        <f>Input!F59</f>
        <v>33.938934982386307</v>
      </c>
      <c r="H18" s="29">
        <f>Input!G59</f>
        <v>56.910028591390173</v>
      </c>
      <c r="I18" s="29">
        <f>Input!H59</f>
        <v>86.56352200526058</v>
      </c>
      <c r="J18" s="29">
        <f>Input!I59</f>
        <v>107.95580114544144</v>
      </c>
      <c r="K18" s="29">
        <f>Input!J59</f>
        <v>128.29485726737138</v>
      </c>
      <c r="L18" s="29">
        <f>Input!K59</f>
        <v>147.98374773337645</v>
      </c>
      <c r="M18" s="29">
        <f>Input!L59</f>
        <v>163.85800027639812</v>
      </c>
      <c r="N18" s="29">
        <f>Input!M59</f>
        <v>172.28426093078957</v>
      </c>
      <c r="O18" s="20"/>
      <c r="P18" s="3"/>
      <c r="Q18" s="3"/>
      <c r="R18" s="3"/>
      <c r="S18" s="3"/>
      <c r="T18" s="3"/>
      <c r="U18" s="3"/>
      <c r="V18" s="3"/>
      <c r="W18" s="3"/>
      <c r="X18" s="3"/>
    </row>
    <row r="19" spans="2:25" x14ac:dyDescent="0.35">
      <c r="B19" t="s">
        <v>5</v>
      </c>
      <c r="C19" t="s">
        <v>48</v>
      </c>
      <c r="E19" s="29">
        <f>Input!D53</f>
        <v>0.18000000000000002</v>
      </c>
      <c r="F19" s="29">
        <f>Input!E53</f>
        <v>1.008</v>
      </c>
      <c r="G19" s="29">
        <f>Input!F53</f>
        <v>3.3075000000000001</v>
      </c>
      <c r="H19" s="29">
        <f>Input!G53</f>
        <v>5.5566000000000004</v>
      </c>
      <c r="I19" s="29">
        <f>Input!H53</f>
        <v>7.8400153125000021</v>
      </c>
      <c r="J19" s="29">
        <f>Input!I53</f>
        <v>10.069861528125005</v>
      </c>
      <c r="K19" s="29">
        <f>Input!J53</f>
        <v>12.503092327031254</v>
      </c>
      <c r="L19" s="29">
        <f>Input!K53</f>
        <v>13.128246943382818</v>
      </c>
      <c r="M19" s="29">
        <f>Input!L53</f>
        <v>13.784659290551957</v>
      </c>
      <c r="N19" s="29">
        <f>Input!M53</f>
        <v>14.473892255079555</v>
      </c>
      <c r="O19" s="20"/>
      <c r="P19" s="3"/>
      <c r="Q19" s="3"/>
      <c r="R19" s="3"/>
      <c r="S19" s="3"/>
      <c r="T19" s="3"/>
      <c r="U19" s="3"/>
      <c r="V19" s="3"/>
      <c r="W19" s="3"/>
      <c r="X19" s="3"/>
    </row>
    <row r="20" spans="2:25" x14ac:dyDescent="0.35">
      <c r="B20" t="s">
        <v>6</v>
      </c>
      <c r="C20" t="s">
        <v>48</v>
      </c>
      <c r="E20" s="29">
        <f>Input!D43</f>
        <v>0.17499890000000001</v>
      </c>
      <c r="F20" s="3">
        <f>Input!E43</f>
        <v>0.43575000000000008</v>
      </c>
      <c r="G20" s="3">
        <f>Input!F43</f>
        <v>2.4020718750000003</v>
      </c>
      <c r="H20" s="3">
        <f>Input!G43</f>
        <v>7.0861120312500017</v>
      </c>
      <c r="I20" s="3">
        <f>Input!H43</f>
        <v>8.0406953943750032</v>
      </c>
      <c r="J20" s="3">
        <f>Input!I43</f>
        <v>8.4427301640937529</v>
      </c>
      <c r="K20" s="3">
        <f>Input!J43</f>
        <v>11.089425435735942</v>
      </c>
      <c r="L20" s="3">
        <f>Input!K43</f>
        <v>11.643896707522741</v>
      </c>
      <c r="M20" s="3">
        <f>Input!L43</f>
        <v>12.226091542898878</v>
      </c>
      <c r="N20" s="3">
        <f>Input!M43</f>
        <v>12.83739612004382</v>
      </c>
      <c r="O20" s="20"/>
      <c r="P20" s="3"/>
      <c r="Q20" s="3"/>
      <c r="R20" s="3"/>
      <c r="S20" s="3"/>
      <c r="T20" s="3"/>
      <c r="U20" s="3"/>
      <c r="V20" s="3"/>
      <c r="W20" s="3"/>
      <c r="X20" s="3"/>
    </row>
    <row r="21" spans="2:25" x14ac:dyDescent="0.35">
      <c r="B21" t="s">
        <v>239</v>
      </c>
      <c r="C21" t="s">
        <v>48</v>
      </c>
      <c r="E21" s="29">
        <f>BA!D95</f>
        <v>3</v>
      </c>
      <c r="F21" s="29">
        <f>BA!E95</f>
        <v>8</v>
      </c>
      <c r="G21" s="29">
        <f>BA!F95</f>
        <v>10</v>
      </c>
      <c r="H21" s="29">
        <f>BA!G95</f>
        <v>5</v>
      </c>
      <c r="I21" s="29">
        <f>BA!H95</f>
        <v>1.5</v>
      </c>
      <c r="J21" s="29">
        <f>BA!I95</f>
        <v>1.5</v>
      </c>
      <c r="K21" s="29">
        <f>BA!J95</f>
        <v>1.5</v>
      </c>
      <c r="L21" s="29">
        <f>BA!K95</f>
        <v>1.5</v>
      </c>
      <c r="M21" s="29">
        <f>BA!L95</f>
        <v>1.5</v>
      </c>
      <c r="N21" s="29">
        <f>BA!M95</f>
        <v>1.5</v>
      </c>
      <c r="O21" s="20"/>
      <c r="P21" s="3"/>
      <c r="Q21" s="3"/>
      <c r="R21" s="3"/>
      <c r="S21" s="3"/>
      <c r="T21" s="3"/>
      <c r="U21" s="3"/>
      <c r="V21" s="3"/>
      <c r="W21" s="3"/>
      <c r="X21" s="3"/>
    </row>
    <row r="22" spans="2:25" x14ac:dyDescent="0.35">
      <c r="B22" t="s">
        <v>7</v>
      </c>
      <c r="C22" t="s">
        <v>48</v>
      </c>
      <c r="E22" s="29">
        <f>E10*BA!D$127</f>
        <v>1.60582828125</v>
      </c>
      <c r="F22" s="29">
        <f>F10*BA!E$127</f>
        <v>4.3345930871399565</v>
      </c>
      <c r="G22" s="29">
        <f>G10*BA!F$127</f>
        <v>7.8080836182874886</v>
      </c>
      <c r="H22" s="29">
        <f>H10*BA!G$127</f>
        <v>12.734891276492112</v>
      </c>
      <c r="I22" s="29">
        <f>I10*BA!H$127</f>
        <v>17.531100252900632</v>
      </c>
      <c r="J22" s="29">
        <f>J10*BA!I$127</f>
        <v>22.254399951201481</v>
      </c>
      <c r="K22" s="29">
        <f>K10*BA!J$127</f>
        <v>25.506077102630258</v>
      </c>
      <c r="L22" s="29">
        <f>L10*BA!K$127</f>
        <v>27.665904601085202</v>
      </c>
      <c r="M22" s="29">
        <f>M10*BA!L$127</f>
        <v>28.226548146485985</v>
      </c>
      <c r="N22" s="29">
        <f>N10*BA!M$127</f>
        <v>28.35611100355484</v>
      </c>
      <c r="O22" s="20"/>
      <c r="P22" s="3"/>
      <c r="Q22" s="3"/>
      <c r="R22" s="3"/>
      <c r="S22" s="3"/>
      <c r="T22" s="3"/>
      <c r="U22" s="3"/>
      <c r="V22" s="3"/>
      <c r="W22" s="3"/>
      <c r="X22" s="3"/>
    </row>
    <row r="23" spans="2:25" s="1" customFormat="1" x14ac:dyDescent="0.35">
      <c r="B23" s="27" t="s">
        <v>47</v>
      </c>
      <c r="C23" s="25" t="s">
        <v>48</v>
      </c>
      <c r="D23" s="25"/>
      <c r="E23" s="41">
        <f>SUM(E15:E22)</f>
        <v>25.157603086764702</v>
      </c>
      <c r="F23" s="41">
        <f t="shared" ref="F23:N23" si="1">SUM(F15:F22)</f>
        <v>92.337250581960646</v>
      </c>
      <c r="G23" s="41">
        <f t="shared" si="1"/>
        <v>179.16523650074706</v>
      </c>
      <c r="H23" s="41">
        <f t="shared" si="1"/>
        <v>321.4502488871031</v>
      </c>
      <c r="I23" s="41">
        <f t="shared" si="1"/>
        <v>512.5070775199041</v>
      </c>
      <c r="J23" s="41">
        <f t="shared" si="1"/>
        <v>708.88241396027047</v>
      </c>
      <c r="K23" s="41">
        <f t="shared" si="1"/>
        <v>893.98175827746275</v>
      </c>
      <c r="L23" s="41">
        <f t="shared" si="1"/>
        <v>1065.3029959437658</v>
      </c>
      <c r="M23" s="41">
        <f t="shared" si="1"/>
        <v>1198.814172509318</v>
      </c>
      <c r="N23" s="41">
        <f t="shared" si="1"/>
        <v>1266.2763612324609</v>
      </c>
      <c r="O23" s="20"/>
    </row>
    <row r="24" spans="2:25" x14ac:dyDescent="0.35"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0"/>
    </row>
    <row r="25" spans="2:25" x14ac:dyDescent="0.35"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0"/>
    </row>
    <row r="26" spans="2:25" x14ac:dyDescent="0.35">
      <c r="B26" t="s">
        <v>72</v>
      </c>
      <c r="C26" t="s">
        <v>48</v>
      </c>
      <c r="E26" s="29">
        <f>E12-E23</f>
        <v>6.9589625382352978</v>
      </c>
      <c r="F26" s="29">
        <f t="shared" ref="F26:N26" si="2">F12-F23</f>
        <v>16.027576596538253</v>
      </c>
      <c r="G26" s="29">
        <f t="shared" si="2"/>
        <v>64.837376570736893</v>
      </c>
      <c r="H26" s="29">
        <f t="shared" si="2"/>
        <v>176.00644160086989</v>
      </c>
      <c r="I26" s="29">
        <f t="shared" si="2"/>
        <v>343.5036770162593</v>
      </c>
      <c r="J26" s="29">
        <f t="shared" si="2"/>
        <v>498.49605561446219</v>
      </c>
      <c r="K26" s="29">
        <f t="shared" si="2"/>
        <v>643.56629237299092</v>
      </c>
      <c r="L26" s="29">
        <f t="shared" si="2"/>
        <v>787.74809884342585</v>
      </c>
      <c r="M26" s="29">
        <f t="shared" si="2"/>
        <v>901.85557480837019</v>
      </c>
      <c r="N26" s="29">
        <f t="shared" si="2"/>
        <v>955.10473856049498</v>
      </c>
      <c r="O26" s="20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spans="2:25" x14ac:dyDescent="0.35">
      <c r="B27" t="s">
        <v>8</v>
      </c>
      <c r="C27" t="s">
        <v>48</v>
      </c>
      <c r="E27" s="29">
        <f>'Cash Flow'!C67</f>
        <v>1.5</v>
      </c>
      <c r="F27" s="29">
        <f>'Cash Flow'!D67</f>
        <v>9.6</v>
      </c>
      <c r="G27" s="29">
        <f>'Cash Flow'!E67</f>
        <v>23.13</v>
      </c>
      <c r="H27" s="29">
        <f>'Cash Flow'!F67</f>
        <v>43.35</v>
      </c>
      <c r="I27" s="29">
        <f>'Cash Flow'!G67</f>
        <v>59.414999999999999</v>
      </c>
      <c r="J27" s="29">
        <f>'Cash Flow'!H67</f>
        <v>69.194999999999993</v>
      </c>
      <c r="K27" s="29">
        <f>'Cash Flow'!I67</f>
        <v>69.827499999999986</v>
      </c>
      <c r="L27" s="29">
        <f>'Cash Flow'!J67</f>
        <v>48.197499999999998</v>
      </c>
      <c r="M27" s="29">
        <f>'Cash Flow'!K67</f>
        <v>14.969999999999999</v>
      </c>
      <c r="N27" s="29">
        <f>'Cash Flow'!L67</f>
        <v>0</v>
      </c>
      <c r="O27" s="20"/>
    </row>
    <row r="28" spans="2:25" x14ac:dyDescent="0.35">
      <c r="B28" t="s">
        <v>9</v>
      </c>
      <c r="C28" t="s">
        <v>48</v>
      </c>
      <c r="E28" s="29">
        <f>FA!F8</f>
        <v>3.8911335969705396</v>
      </c>
      <c r="F28" s="29">
        <f>FA!G8</f>
        <v>27.273475147395178</v>
      </c>
      <c r="G28" s="29">
        <f>FA!H8</f>
        <v>66.52441175599472</v>
      </c>
      <c r="H28" s="29">
        <f>FA!I8</f>
        <v>82.180502097886361</v>
      </c>
      <c r="I28" s="29">
        <f>FA!J8</f>
        <v>78.20883489849129</v>
      </c>
      <c r="J28" s="29">
        <f>FA!K8</f>
        <v>86.363211231284012</v>
      </c>
      <c r="K28" s="29">
        <f>FA!L8</f>
        <v>74.494677175182915</v>
      </c>
      <c r="L28" s="29">
        <f>FA!M8</f>
        <v>64.573754331320487</v>
      </c>
      <c r="M28" s="29">
        <f>FA!N8</f>
        <v>56.047699942087633</v>
      </c>
      <c r="N28" s="29">
        <f>FA!O8</f>
        <v>48.643250377271613</v>
      </c>
      <c r="O28" s="20"/>
    </row>
    <row r="29" spans="2:25" x14ac:dyDescent="0.35">
      <c r="B29" s="17" t="s">
        <v>49</v>
      </c>
      <c r="C29" s="17" t="s">
        <v>48</v>
      </c>
      <c r="D29" s="17"/>
      <c r="E29" s="191">
        <f>E26-E27-E28</f>
        <v>1.5678289412647581</v>
      </c>
      <c r="F29" s="191">
        <f t="shared" ref="F29:N29" si="3">F26-F27-F28</f>
        <v>-20.845898550856923</v>
      </c>
      <c r="G29" s="191">
        <f t="shared" si="3"/>
        <v>-24.817035185257822</v>
      </c>
      <c r="H29" s="191">
        <f t="shared" si="3"/>
        <v>50.475939502983536</v>
      </c>
      <c r="I29" s="191">
        <f t="shared" si="3"/>
        <v>205.87984211776799</v>
      </c>
      <c r="J29" s="191">
        <f t="shared" si="3"/>
        <v>342.93784438317817</v>
      </c>
      <c r="K29" s="191">
        <f t="shared" si="3"/>
        <v>499.24411519780801</v>
      </c>
      <c r="L29" s="191">
        <f t="shared" si="3"/>
        <v>674.97684451210534</v>
      </c>
      <c r="M29" s="191">
        <f t="shared" si="3"/>
        <v>830.8378748662825</v>
      </c>
      <c r="N29" s="191">
        <f t="shared" si="3"/>
        <v>906.46148818322331</v>
      </c>
      <c r="O29" s="20"/>
    </row>
    <row r="30" spans="2:25" x14ac:dyDescent="0.35">
      <c r="B30" t="s">
        <v>11</v>
      </c>
      <c r="C30" t="s">
        <v>48</v>
      </c>
      <c r="E30" s="29">
        <f>E39</f>
        <v>0</v>
      </c>
      <c r="F30" s="29">
        <f t="shared" ref="F30:N30" si="4">F39</f>
        <v>0</v>
      </c>
      <c r="G30" s="29">
        <f t="shared" si="4"/>
        <v>0</v>
      </c>
      <c r="H30" s="29">
        <f t="shared" si="4"/>
        <v>1.4289049049018818</v>
      </c>
      <c r="I30" s="29">
        <f t="shared" si="4"/>
        <v>52.905882790243204</v>
      </c>
      <c r="J30" s="29">
        <f t="shared" si="4"/>
        <v>87.367777350715087</v>
      </c>
      <c r="K30" s="29">
        <f t="shared" si="4"/>
        <v>126.2265395900781</v>
      </c>
      <c r="L30" s="29">
        <f t="shared" si="4"/>
        <v>170.15115537503442</v>
      </c>
      <c r="M30" s="29">
        <f t="shared" si="4"/>
        <v>209.15534801734796</v>
      </c>
      <c r="N30" s="29">
        <f t="shared" si="4"/>
        <v>228.03731863037223</v>
      </c>
      <c r="O30" s="20"/>
    </row>
    <row r="31" spans="2:25" ht="15" thickBot="1" x14ac:dyDescent="0.4">
      <c r="B31" s="161" t="s">
        <v>50</v>
      </c>
      <c r="C31" s="161" t="s">
        <v>48</v>
      </c>
      <c r="D31" s="161"/>
      <c r="E31" s="192">
        <f>E29-E30</f>
        <v>1.5678289412647581</v>
      </c>
      <c r="F31" s="192">
        <f t="shared" ref="F31:N31" si="5">F29-F30</f>
        <v>-20.845898550856923</v>
      </c>
      <c r="G31" s="192">
        <f t="shared" si="5"/>
        <v>-24.817035185257822</v>
      </c>
      <c r="H31" s="192">
        <f t="shared" si="5"/>
        <v>49.047034598081652</v>
      </c>
      <c r="I31" s="192">
        <f t="shared" si="5"/>
        <v>152.9739593275248</v>
      </c>
      <c r="J31" s="192">
        <f t="shared" si="5"/>
        <v>255.5700670324631</v>
      </c>
      <c r="K31" s="192">
        <f t="shared" si="5"/>
        <v>373.0175756077299</v>
      </c>
      <c r="L31" s="192">
        <f t="shared" si="5"/>
        <v>504.82568913707092</v>
      </c>
      <c r="M31" s="192">
        <f t="shared" si="5"/>
        <v>621.68252684893457</v>
      </c>
      <c r="N31" s="192">
        <f t="shared" si="5"/>
        <v>678.42416955285103</v>
      </c>
      <c r="O31" s="20"/>
    </row>
    <row r="32" spans="2:25" ht="15" thickTop="1" x14ac:dyDescent="0.35"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0"/>
    </row>
    <row r="33" spans="2:15" x14ac:dyDescent="0.35"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0"/>
    </row>
    <row r="34" spans="2:15" s="1" customFormat="1" x14ac:dyDescent="0.35">
      <c r="B34" s="11" t="s">
        <v>51</v>
      </c>
      <c r="C34" s="12"/>
      <c r="D34" s="12"/>
      <c r="E34" s="199">
        <v>44651</v>
      </c>
      <c r="F34" s="199">
        <v>45016</v>
      </c>
      <c r="G34" s="199">
        <v>45382</v>
      </c>
      <c r="H34" s="199">
        <v>45747</v>
      </c>
      <c r="I34" s="199">
        <v>46112</v>
      </c>
      <c r="J34" s="199">
        <v>46477</v>
      </c>
      <c r="K34" s="199">
        <v>46843</v>
      </c>
      <c r="L34" s="199">
        <v>47208</v>
      </c>
      <c r="M34" s="199">
        <v>47573</v>
      </c>
      <c r="N34" s="200">
        <v>47938</v>
      </c>
      <c r="O34" s="20"/>
    </row>
    <row r="35" spans="2:15" x14ac:dyDescent="0.35">
      <c r="B35" s="47" t="s">
        <v>10</v>
      </c>
      <c r="C35" s="17"/>
      <c r="D35" s="17"/>
      <c r="E35" s="191">
        <f>E29</f>
        <v>1.5678289412647581</v>
      </c>
      <c r="F35" s="191">
        <f t="shared" ref="F35:N35" si="6">F29</f>
        <v>-20.845898550856923</v>
      </c>
      <c r="G35" s="191">
        <f t="shared" si="6"/>
        <v>-24.817035185257822</v>
      </c>
      <c r="H35" s="191">
        <f t="shared" si="6"/>
        <v>50.475939502983536</v>
      </c>
      <c r="I35" s="191">
        <f t="shared" si="6"/>
        <v>205.87984211776799</v>
      </c>
      <c r="J35" s="191">
        <f t="shared" si="6"/>
        <v>342.93784438317817</v>
      </c>
      <c r="K35" s="191">
        <f t="shared" si="6"/>
        <v>499.24411519780801</v>
      </c>
      <c r="L35" s="191">
        <f t="shared" si="6"/>
        <v>674.97684451210534</v>
      </c>
      <c r="M35" s="191">
        <f t="shared" si="6"/>
        <v>830.8378748662825</v>
      </c>
      <c r="N35" s="193">
        <f t="shared" si="6"/>
        <v>906.46148818322331</v>
      </c>
      <c r="O35" s="20"/>
    </row>
    <row r="36" spans="2:15" x14ac:dyDescent="0.35">
      <c r="B36" s="14" t="s">
        <v>52</v>
      </c>
      <c r="C36" s="4"/>
      <c r="D36" s="4"/>
      <c r="E36" s="84">
        <f>E28</f>
        <v>3.8911335969705396</v>
      </c>
      <c r="F36" s="84">
        <f t="shared" ref="F36:N36" si="7">F28</f>
        <v>27.273475147395178</v>
      </c>
      <c r="G36" s="84">
        <f t="shared" si="7"/>
        <v>66.52441175599472</v>
      </c>
      <c r="H36" s="84">
        <f t="shared" si="7"/>
        <v>82.180502097886361</v>
      </c>
      <c r="I36" s="84">
        <f t="shared" si="7"/>
        <v>78.20883489849129</v>
      </c>
      <c r="J36" s="84">
        <f t="shared" si="7"/>
        <v>86.363211231284012</v>
      </c>
      <c r="K36" s="84">
        <f t="shared" si="7"/>
        <v>74.494677175182915</v>
      </c>
      <c r="L36" s="84">
        <f t="shared" si="7"/>
        <v>64.573754331320487</v>
      </c>
      <c r="M36" s="84">
        <f t="shared" si="7"/>
        <v>56.047699942087633</v>
      </c>
      <c r="N36" s="194">
        <f t="shared" si="7"/>
        <v>48.643250377271613</v>
      </c>
      <c r="O36" s="20"/>
    </row>
    <row r="37" spans="2:15" x14ac:dyDescent="0.35">
      <c r="B37" s="14" t="s">
        <v>53</v>
      </c>
      <c r="C37" s="4"/>
      <c r="D37" s="4"/>
      <c r="E37" s="84">
        <f>-FA!S8</f>
        <v>-8.5593455886530414</v>
      </c>
      <c r="F37" s="84">
        <f>-FA!T8</f>
        <v>-28.037832729533317</v>
      </c>
      <c r="G37" s="84">
        <f>-FA!U8</f>
        <v>-65.250704039033977</v>
      </c>
      <c r="H37" s="84">
        <f>-FA!V8</f>
        <v>-78.72545903775007</v>
      </c>
      <c r="I37" s="84">
        <f>-FA!W8</f>
        <v>-73.894466486886259</v>
      </c>
      <c r="J37" s="84">
        <f>-FA!X8</f>
        <v>-82.190299354171884</v>
      </c>
      <c r="K37" s="84">
        <f>-FA!Y8</f>
        <v>-72.242806715151886</v>
      </c>
      <c r="L37" s="84">
        <f>-FA!Z8</f>
        <v>-63.542830170265766</v>
      </c>
      <c r="M37" s="84">
        <f>-FA!AA8</f>
        <v>-55.914784115688711</v>
      </c>
      <c r="N37" s="194">
        <f>-FA!AB8</f>
        <v>-49.116186195090869</v>
      </c>
      <c r="O37" s="20"/>
    </row>
    <row r="38" spans="2:15" x14ac:dyDescent="0.35">
      <c r="B38" s="14" t="s">
        <v>54</v>
      </c>
      <c r="C38" s="4"/>
      <c r="D38" s="4"/>
      <c r="E38" s="84">
        <f>SUM(E35:E37)</f>
        <v>-3.1003830504177436</v>
      </c>
      <c r="F38" s="84">
        <f t="shared" ref="F38:N38" si="8">SUM(F35:F37)</f>
        <v>-21.610256132995062</v>
      </c>
      <c r="G38" s="84">
        <f t="shared" si="8"/>
        <v>-23.543327468297079</v>
      </c>
      <c r="H38" s="84">
        <f t="shared" si="8"/>
        <v>53.930982563119827</v>
      </c>
      <c r="I38" s="84">
        <f t="shared" si="8"/>
        <v>210.19421052937304</v>
      </c>
      <c r="J38" s="84">
        <f t="shared" si="8"/>
        <v>347.11075626029032</v>
      </c>
      <c r="K38" s="84">
        <f t="shared" si="8"/>
        <v>501.49598565783901</v>
      </c>
      <c r="L38" s="84">
        <f t="shared" si="8"/>
        <v>676.00776867316006</v>
      </c>
      <c r="M38" s="84">
        <f t="shared" si="8"/>
        <v>830.97079069268148</v>
      </c>
      <c r="N38" s="194">
        <f t="shared" si="8"/>
        <v>905.98855236540408</v>
      </c>
      <c r="O38" s="20"/>
    </row>
    <row r="39" spans="2:15" x14ac:dyDescent="0.35">
      <c r="B39" s="15" t="s">
        <v>11</v>
      </c>
      <c r="C39" s="16"/>
      <c r="D39" s="16"/>
      <c r="E39" s="190">
        <f>MAX(IF(SUM($E$38:E38)&lt;E38,SUM($E$38:E38)*25.17%,E38*25.17%),0)</f>
        <v>0</v>
      </c>
      <c r="F39" s="190">
        <f>MAX(IF(SUM($E$38:F38)&lt;F38,SUM($E$38:F38)*25.17%,F38*25.17%),0)</f>
        <v>0</v>
      </c>
      <c r="G39" s="190">
        <f>MAX(IF(SUM($E$38:G38)&lt;G38,SUM($E$38:G38)*25.17%,G38*25.17%),0)</f>
        <v>0</v>
      </c>
      <c r="H39" s="190">
        <f>MAX(IF(SUM($E$38:H38)&lt;H38,SUM($E$38:H38)*25.17%,H38*25.17%),0)</f>
        <v>1.4289049049018818</v>
      </c>
      <c r="I39" s="190">
        <f>MAX(IF(SUM($E$38:I38)&lt;I38,SUM($E$38:I38)*25.17%,I38*25.17%),0)</f>
        <v>52.905882790243204</v>
      </c>
      <c r="J39" s="190">
        <f>MAX(IF(SUM($E$38:J38)&lt;J38,SUM($E$38:J38)*25.17%,J38*25.17%),0)</f>
        <v>87.367777350715087</v>
      </c>
      <c r="K39" s="190">
        <f>MAX(IF(SUM($E$38:K38)&lt;K38,SUM($E$38:K38)*25.17%,K38*25.17%),0)</f>
        <v>126.2265395900781</v>
      </c>
      <c r="L39" s="190">
        <f>MAX(IF(SUM($E$38:L38)&lt;L38,SUM($E$38:L38)*25.17%,L38*25.17%),0)</f>
        <v>170.15115537503442</v>
      </c>
      <c r="M39" s="190">
        <f>MAX(IF(SUM($E$38:M38)&lt;M38,SUM($E$38:M38)*25.17%,M38*25.17%),0)</f>
        <v>209.15534801734796</v>
      </c>
      <c r="N39" s="195">
        <f>MAX(IF(SUM($E$38:N38)&lt;N38,SUM($E$38:N38)*25.17%,N38*25.17%),0)</f>
        <v>228.03731863037223</v>
      </c>
      <c r="O39" s="20"/>
    </row>
    <row r="40" spans="2:15" x14ac:dyDescent="0.35"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2:15" x14ac:dyDescent="0.35">
      <c r="E41" s="29"/>
      <c r="F41" s="29"/>
      <c r="G41" s="29"/>
      <c r="H41" s="29"/>
      <c r="I41" s="29"/>
      <c r="J41" s="29"/>
      <c r="K41" s="29"/>
      <c r="L41" s="29"/>
      <c r="M41" s="29"/>
      <c r="N41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8"/>
  <sheetViews>
    <sheetView showGridLines="0" workbookViewId="0">
      <pane xSplit="3" ySplit="4" topLeftCell="D5" activePane="bottomRight" state="frozen"/>
      <selection activeCell="D8" sqref="D8"/>
      <selection pane="topRight" activeCell="D8" sqref="D8"/>
      <selection pane="bottomLeft" activeCell="D8" sqref="D8"/>
      <selection pane="bottomRight" activeCell="E14" sqref="E14"/>
    </sheetView>
  </sheetViews>
  <sheetFormatPr defaultRowHeight="14.5" x14ac:dyDescent="0.35"/>
  <cols>
    <col min="1" max="1" width="2.7265625" customWidth="1"/>
    <col min="2" max="2" width="24.26953125" bestFit="1" customWidth="1"/>
    <col min="3" max="5" width="8.7265625" customWidth="1"/>
    <col min="6" max="6" width="9.7265625" customWidth="1"/>
    <col min="7" max="15" width="8.7265625" customWidth="1"/>
  </cols>
  <sheetData>
    <row r="1" spans="2:28" ht="18.5" x14ac:dyDescent="0.45">
      <c r="B1" s="140" t="s">
        <v>68</v>
      </c>
      <c r="C1" s="1"/>
    </row>
    <row r="2" spans="2:28" x14ac:dyDescent="0.35">
      <c r="B2" s="1" t="s">
        <v>169</v>
      </c>
      <c r="C2" s="1"/>
    </row>
    <row r="3" spans="2:28" x14ac:dyDescent="0.35">
      <c r="B3" s="1" t="s">
        <v>180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R3" s="1" t="s">
        <v>200</v>
      </c>
    </row>
    <row r="4" spans="2:28" x14ac:dyDescent="0.35">
      <c r="B4" s="117" t="s">
        <v>103</v>
      </c>
      <c r="C4" s="113" t="s">
        <v>27</v>
      </c>
      <c r="D4" s="113">
        <v>44286</v>
      </c>
      <c r="E4" s="113">
        <v>44469</v>
      </c>
      <c r="F4" s="113">
        <v>44651</v>
      </c>
      <c r="G4" s="113">
        <v>45016</v>
      </c>
      <c r="H4" s="113">
        <v>45382</v>
      </c>
      <c r="I4" s="113">
        <v>45747</v>
      </c>
      <c r="J4" s="113">
        <v>46112</v>
      </c>
      <c r="K4" s="113">
        <v>46477</v>
      </c>
      <c r="L4" s="113">
        <v>46843</v>
      </c>
      <c r="M4" s="113">
        <v>47208</v>
      </c>
      <c r="N4" s="113">
        <v>47573</v>
      </c>
      <c r="O4" s="135">
        <v>47938</v>
      </c>
      <c r="R4" s="113">
        <v>44469</v>
      </c>
      <c r="S4" s="113">
        <v>44651</v>
      </c>
      <c r="T4" s="113">
        <v>45016</v>
      </c>
      <c r="U4" s="113">
        <v>45382</v>
      </c>
      <c r="V4" s="113">
        <v>45747</v>
      </c>
      <c r="W4" s="113">
        <v>46112</v>
      </c>
      <c r="X4" s="113">
        <v>46477</v>
      </c>
      <c r="Y4" s="113">
        <v>46843</v>
      </c>
      <c r="Z4" s="113">
        <v>47208</v>
      </c>
      <c r="AA4" s="113">
        <v>47573</v>
      </c>
      <c r="AB4" s="135">
        <v>47938</v>
      </c>
    </row>
    <row r="5" spans="2:28" x14ac:dyDescent="0.35">
      <c r="B5" s="117" t="s">
        <v>74</v>
      </c>
      <c r="C5" s="113"/>
      <c r="D5" s="114">
        <f>D13+D51+D20+D27+D34+D58+D72+D79+D65+D86+D93+D100</f>
        <v>0</v>
      </c>
      <c r="E5" s="114">
        <f>E13+E51+E20+E27+E34+E42+E58+E72+E79+E65+E86+E93+E100</f>
        <v>47.576512478095438</v>
      </c>
      <c r="F5" s="114">
        <f t="shared" ref="F5:O5" si="0">F13+F51+F20+F27+F34+F42+F58+F72+F79+F65+F86+F93+F100</f>
        <v>102.87520337809545</v>
      </c>
      <c r="G5" s="114">
        <f t="shared" si="0"/>
        <v>479.48272578112494</v>
      </c>
      <c r="H5" s="114">
        <f t="shared" si="0"/>
        <v>951.95605063372955</v>
      </c>
      <c r="I5" s="114">
        <f t="shared" si="0"/>
        <v>1624.3928388777354</v>
      </c>
      <c r="J5" s="114">
        <f t="shared" si="0"/>
        <v>2010.5863367798488</v>
      </c>
      <c r="K5" s="114">
        <f t="shared" si="0"/>
        <v>2392.9779018813574</v>
      </c>
      <c r="L5" s="114">
        <f t="shared" si="0"/>
        <v>2806.0622906500739</v>
      </c>
      <c r="M5" s="114">
        <f t="shared" si="0"/>
        <v>3090.607613474891</v>
      </c>
      <c r="N5" s="114">
        <f t="shared" si="0"/>
        <v>3026.5058591435704</v>
      </c>
      <c r="O5" s="118">
        <f t="shared" si="0"/>
        <v>2970.878159201483</v>
      </c>
      <c r="R5" s="114">
        <f>R13+R51+R20+R27+R34+R42+R58+R72+R79+R65+R86+R93+R100</f>
        <v>47.613228378095442</v>
      </c>
      <c r="S5" s="114">
        <f t="shared" ref="S5:AB5" si="1">S13+S51+S20+S27+S34+S42+S58+S72+S79+S65+S86+S93+S100</f>
        <v>103.20036929862633</v>
      </c>
      <c r="T5" s="114">
        <f t="shared" si="1"/>
        <v>475.13967970997328</v>
      </c>
      <c r="U5" s="114">
        <f t="shared" si="1"/>
        <v>946.84864698044009</v>
      </c>
      <c r="V5" s="114">
        <f t="shared" si="1"/>
        <v>1620.559142941406</v>
      </c>
      <c r="W5" s="114">
        <f t="shared" si="1"/>
        <v>2010.2076839036565</v>
      </c>
      <c r="X5" s="114">
        <f t="shared" si="1"/>
        <v>2396.9136174167697</v>
      </c>
      <c r="Y5" s="114">
        <f t="shared" si="1"/>
        <v>2814.170918062598</v>
      </c>
      <c r="Z5" s="114">
        <f t="shared" si="1"/>
        <v>3100.9681113474462</v>
      </c>
      <c r="AA5" s="114">
        <f t="shared" si="1"/>
        <v>3037.897281177181</v>
      </c>
      <c r="AB5" s="118">
        <f t="shared" si="1"/>
        <v>2982.4024970614923</v>
      </c>
    </row>
    <row r="6" spans="2:28" x14ac:dyDescent="0.35">
      <c r="B6" s="119" t="s">
        <v>176</v>
      </c>
      <c r="C6" s="71"/>
      <c r="D6" s="112">
        <v>0</v>
      </c>
      <c r="E6" s="112">
        <f t="shared" ref="E6:O9" si="2">E14+E52+E21+E28+E35+E43+E59+E73+E80+E66+E87+E94+E101</f>
        <v>57.539865800000001</v>
      </c>
      <c r="F6" s="112">
        <f t="shared" si="2"/>
        <v>380.49865599999998</v>
      </c>
      <c r="G6" s="112">
        <f t="shared" si="2"/>
        <v>499.74680000000001</v>
      </c>
      <c r="H6" s="112">
        <f t="shared" si="2"/>
        <v>738.96120000000008</v>
      </c>
      <c r="I6" s="112">
        <f t="shared" si="2"/>
        <v>468.37400000000008</v>
      </c>
      <c r="J6" s="112">
        <f t="shared" si="2"/>
        <v>460.60040000000004</v>
      </c>
      <c r="K6" s="112">
        <f t="shared" si="2"/>
        <v>499.44760000000002</v>
      </c>
      <c r="L6" s="112">
        <f t="shared" si="2"/>
        <v>359.04</v>
      </c>
      <c r="M6" s="112">
        <f t="shared" si="2"/>
        <v>0.47199999999999998</v>
      </c>
      <c r="N6" s="112">
        <f t="shared" si="2"/>
        <v>0.42</v>
      </c>
      <c r="O6" s="120">
        <f t="shared" si="2"/>
        <v>9.1999999999999998E-2</v>
      </c>
      <c r="R6" s="112">
        <f t="shared" ref="R6:AB6" si="3">R14+R52+R21+R28+R35+R43+R59+R73+R80+R66+R87+R94+R101</f>
        <v>57.539865800000001</v>
      </c>
      <c r="S6" s="112">
        <f t="shared" si="3"/>
        <v>380.49865599999998</v>
      </c>
      <c r="T6" s="112">
        <f t="shared" si="3"/>
        <v>499.74680000000001</v>
      </c>
      <c r="U6" s="112">
        <f t="shared" si="3"/>
        <v>738.96120000000008</v>
      </c>
      <c r="V6" s="112">
        <f t="shared" si="3"/>
        <v>468.37400000000008</v>
      </c>
      <c r="W6" s="112">
        <f t="shared" si="3"/>
        <v>460.60040000000004</v>
      </c>
      <c r="X6" s="112">
        <f t="shared" si="3"/>
        <v>499.44760000000002</v>
      </c>
      <c r="Y6" s="112">
        <f t="shared" si="3"/>
        <v>359.04</v>
      </c>
      <c r="Z6" s="112">
        <f t="shared" si="3"/>
        <v>0.47199999999999998</v>
      </c>
      <c r="AA6" s="112">
        <f t="shared" si="3"/>
        <v>0.42</v>
      </c>
      <c r="AB6" s="120">
        <f t="shared" si="3"/>
        <v>9.1999999999999998E-2</v>
      </c>
    </row>
    <row r="7" spans="2:28" x14ac:dyDescent="0.35">
      <c r="B7" s="119" t="s">
        <v>177</v>
      </c>
      <c r="C7" s="71"/>
      <c r="D7" s="112">
        <f>D15+D53+D22+D29+D36+D60+D74+D81+D67+D88+D95+D102</f>
        <v>0</v>
      </c>
      <c r="E7" s="112">
        <f t="shared" si="2"/>
        <v>0.2</v>
      </c>
      <c r="F7" s="112">
        <f t="shared" si="2"/>
        <v>0</v>
      </c>
      <c r="G7" s="112">
        <f t="shared" si="2"/>
        <v>0</v>
      </c>
      <c r="H7" s="112">
        <f t="shared" si="2"/>
        <v>0</v>
      </c>
      <c r="I7" s="112">
        <f t="shared" si="2"/>
        <v>0</v>
      </c>
      <c r="J7" s="112">
        <f t="shared" si="2"/>
        <v>0</v>
      </c>
      <c r="K7" s="112">
        <f t="shared" si="2"/>
        <v>0</v>
      </c>
      <c r="L7" s="112">
        <f t="shared" si="2"/>
        <v>0</v>
      </c>
      <c r="M7" s="112">
        <f t="shared" si="2"/>
        <v>0</v>
      </c>
      <c r="N7" s="112">
        <f t="shared" si="2"/>
        <v>0</v>
      </c>
      <c r="O7" s="120">
        <f t="shared" si="2"/>
        <v>0</v>
      </c>
      <c r="R7" s="112">
        <f t="shared" ref="R7:AB7" si="4">R15+R53+R22+R29+R36+R44+R60+R74+R81+R67+R88+R95+R102</f>
        <v>0.2</v>
      </c>
      <c r="S7" s="112">
        <f t="shared" si="4"/>
        <v>0</v>
      </c>
      <c r="T7" s="112">
        <f t="shared" si="4"/>
        <v>0</v>
      </c>
      <c r="U7" s="112">
        <f t="shared" si="4"/>
        <v>0</v>
      </c>
      <c r="V7" s="112">
        <f t="shared" si="4"/>
        <v>0</v>
      </c>
      <c r="W7" s="112">
        <f t="shared" si="4"/>
        <v>0</v>
      </c>
      <c r="X7" s="112">
        <f t="shared" si="4"/>
        <v>0</v>
      </c>
      <c r="Y7" s="112">
        <f t="shared" si="4"/>
        <v>0</v>
      </c>
      <c r="Z7" s="112">
        <f t="shared" si="4"/>
        <v>0</v>
      </c>
      <c r="AA7" s="112">
        <f t="shared" si="4"/>
        <v>0</v>
      </c>
      <c r="AB7" s="120">
        <f t="shared" si="4"/>
        <v>0</v>
      </c>
    </row>
    <row r="8" spans="2:28" x14ac:dyDescent="0.35">
      <c r="B8" s="119" t="s">
        <v>9</v>
      </c>
      <c r="C8" s="71"/>
      <c r="D8" s="112">
        <f>D16+D54+D23+D30+D37+D61+D75+D82+D68+D89+D96+D103</f>
        <v>0</v>
      </c>
      <c r="E8" s="112">
        <f t="shared" si="2"/>
        <v>2.0411749000000001</v>
      </c>
      <c r="F8" s="112">
        <f t="shared" si="2"/>
        <v>3.8911335969705396</v>
      </c>
      <c r="G8" s="112">
        <f t="shared" si="2"/>
        <v>27.273475147395178</v>
      </c>
      <c r="H8" s="112">
        <f t="shared" si="2"/>
        <v>66.52441175599472</v>
      </c>
      <c r="I8" s="112">
        <f t="shared" si="2"/>
        <v>82.180502097886361</v>
      </c>
      <c r="J8" s="112">
        <f t="shared" si="2"/>
        <v>78.20883489849129</v>
      </c>
      <c r="K8" s="112">
        <f t="shared" si="2"/>
        <v>86.363211231284012</v>
      </c>
      <c r="L8" s="112">
        <f t="shared" si="2"/>
        <v>74.494677175182915</v>
      </c>
      <c r="M8" s="112">
        <f t="shared" si="2"/>
        <v>64.573754331320487</v>
      </c>
      <c r="N8" s="112">
        <f t="shared" si="2"/>
        <v>56.047699942087633</v>
      </c>
      <c r="O8" s="120">
        <f t="shared" si="2"/>
        <v>48.643250377271613</v>
      </c>
      <c r="R8" s="112">
        <f t="shared" ref="R8:AB8" si="5">R16+R54+R23+R30+R37+R45+R61+R75+R82+R68+R89+R96+R103</f>
        <v>1.7527248794690877</v>
      </c>
      <c r="S8" s="112">
        <f t="shared" si="5"/>
        <v>8.5593455886530414</v>
      </c>
      <c r="T8" s="112">
        <f t="shared" si="5"/>
        <v>28.037832729533317</v>
      </c>
      <c r="U8" s="112">
        <f t="shared" si="5"/>
        <v>65.250704039033977</v>
      </c>
      <c r="V8" s="112">
        <f t="shared" si="5"/>
        <v>78.72545903775007</v>
      </c>
      <c r="W8" s="112">
        <f t="shared" si="5"/>
        <v>73.894466486886259</v>
      </c>
      <c r="X8" s="112">
        <f t="shared" si="5"/>
        <v>82.190299354171884</v>
      </c>
      <c r="Y8" s="112">
        <f t="shared" si="5"/>
        <v>72.242806715151886</v>
      </c>
      <c r="Z8" s="112">
        <f t="shared" si="5"/>
        <v>63.542830170265766</v>
      </c>
      <c r="AA8" s="112">
        <f t="shared" si="5"/>
        <v>55.914784115688711</v>
      </c>
      <c r="AB8" s="120">
        <f t="shared" si="5"/>
        <v>49.116186195090869</v>
      </c>
    </row>
    <row r="9" spans="2:28" x14ac:dyDescent="0.35">
      <c r="B9" s="94" t="s">
        <v>75</v>
      </c>
      <c r="C9" s="115"/>
      <c r="D9" s="116">
        <f>D17+D55+D24+D31+D38+D62+D76+D83+D69+D90+D97+D104</f>
        <v>47.576512478095438</v>
      </c>
      <c r="E9" s="116">
        <f t="shared" si="2"/>
        <v>102.87520337809545</v>
      </c>
      <c r="F9" s="116">
        <f t="shared" si="2"/>
        <v>479.48272578112494</v>
      </c>
      <c r="G9" s="116">
        <f t="shared" si="2"/>
        <v>951.95605063372955</v>
      </c>
      <c r="H9" s="116">
        <f t="shared" si="2"/>
        <v>1624.3928388777354</v>
      </c>
      <c r="I9" s="116">
        <f t="shared" si="2"/>
        <v>2010.5863367798488</v>
      </c>
      <c r="J9" s="116">
        <f t="shared" si="2"/>
        <v>2392.9779018813574</v>
      </c>
      <c r="K9" s="116">
        <f t="shared" si="2"/>
        <v>2806.0622906500739</v>
      </c>
      <c r="L9" s="116">
        <f t="shared" si="2"/>
        <v>3090.607613474891</v>
      </c>
      <c r="M9" s="116">
        <f t="shared" si="2"/>
        <v>3026.5058591435704</v>
      </c>
      <c r="N9" s="116">
        <f t="shared" si="2"/>
        <v>2970.878159201483</v>
      </c>
      <c r="O9" s="121">
        <f t="shared" si="2"/>
        <v>2922.3269088242114</v>
      </c>
      <c r="R9" s="116">
        <f t="shared" ref="R9:AB9" si="6">R17+R55+R24+R31+R38+R46+R62+R76+R83+R69+R90+R97+R104</f>
        <v>103.20036929862633</v>
      </c>
      <c r="S9" s="116">
        <f t="shared" si="6"/>
        <v>475.13967970997328</v>
      </c>
      <c r="T9" s="116">
        <f t="shared" si="6"/>
        <v>946.84864698044009</v>
      </c>
      <c r="U9" s="116">
        <f t="shared" si="6"/>
        <v>1620.559142941406</v>
      </c>
      <c r="V9" s="116">
        <f t="shared" si="6"/>
        <v>2010.2076839036565</v>
      </c>
      <c r="W9" s="116">
        <f t="shared" si="6"/>
        <v>2396.9136174167697</v>
      </c>
      <c r="X9" s="116">
        <f t="shared" si="6"/>
        <v>2814.170918062598</v>
      </c>
      <c r="Y9" s="116">
        <f t="shared" si="6"/>
        <v>3100.9681113474462</v>
      </c>
      <c r="Z9" s="116">
        <f t="shared" si="6"/>
        <v>3037.897281177181</v>
      </c>
      <c r="AA9" s="116">
        <f t="shared" si="6"/>
        <v>2982.4024970614923</v>
      </c>
      <c r="AB9" s="121">
        <f t="shared" si="6"/>
        <v>2933.3783108664011</v>
      </c>
    </row>
    <row r="10" spans="2:28" x14ac:dyDescent="0.35">
      <c r="C10" s="1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28" x14ac:dyDescent="0.35">
      <c r="B11" s="71" t="s">
        <v>195</v>
      </c>
      <c r="C11" s="27"/>
      <c r="D11" s="25"/>
      <c r="E11" s="25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2:28" x14ac:dyDescent="0.35">
      <c r="B12" s="1" t="s">
        <v>16</v>
      </c>
      <c r="C12" s="1"/>
    </row>
    <row r="13" spans="2:28" x14ac:dyDescent="0.35">
      <c r="B13" t="s">
        <v>74</v>
      </c>
      <c r="D13" s="29">
        <v>0</v>
      </c>
      <c r="E13" s="29">
        <f>D17</f>
        <v>19.587479999999999</v>
      </c>
      <c r="F13" s="29">
        <f t="shared" ref="F13:O13" si="7">E17</f>
        <v>61.368499999999997</v>
      </c>
      <c r="G13" s="29">
        <f t="shared" si="7"/>
        <v>311.2645</v>
      </c>
      <c r="H13" s="29">
        <f t="shared" si="7"/>
        <v>323.2645</v>
      </c>
      <c r="I13" s="29">
        <f t="shared" si="7"/>
        <v>323.2645</v>
      </c>
      <c r="J13" s="29">
        <f t="shared" si="7"/>
        <v>323.2645</v>
      </c>
      <c r="K13" s="29">
        <f t="shared" si="7"/>
        <v>323.2645</v>
      </c>
      <c r="L13" s="29">
        <f t="shared" si="7"/>
        <v>323.2645</v>
      </c>
      <c r="M13" s="29">
        <f t="shared" si="7"/>
        <v>323.2645</v>
      </c>
      <c r="N13" s="29">
        <f t="shared" si="7"/>
        <v>323.2645</v>
      </c>
      <c r="O13" s="29">
        <f t="shared" si="7"/>
        <v>323.2645</v>
      </c>
      <c r="R13" s="85">
        <f>E13</f>
        <v>19.587479999999999</v>
      </c>
      <c r="S13" s="85">
        <f>R17</f>
        <v>61.368499999999997</v>
      </c>
      <c r="T13" s="85">
        <f t="shared" ref="T13:AB13" si="8">S17</f>
        <v>311.2645</v>
      </c>
      <c r="U13" s="85">
        <f t="shared" si="8"/>
        <v>323.2645</v>
      </c>
      <c r="V13" s="85">
        <f t="shared" si="8"/>
        <v>323.2645</v>
      </c>
      <c r="W13" s="85">
        <f t="shared" si="8"/>
        <v>323.2645</v>
      </c>
      <c r="X13" s="85">
        <f t="shared" si="8"/>
        <v>323.2645</v>
      </c>
      <c r="Y13" s="85">
        <f t="shared" si="8"/>
        <v>323.2645</v>
      </c>
      <c r="Z13" s="85">
        <f t="shared" si="8"/>
        <v>323.2645</v>
      </c>
      <c r="AA13" s="85">
        <f t="shared" si="8"/>
        <v>323.2645</v>
      </c>
      <c r="AB13" s="85">
        <f t="shared" si="8"/>
        <v>323.2645</v>
      </c>
    </row>
    <row r="14" spans="2:28" x14ac:dyDescent="0.35">
      <c r="B14" t="s">
        <v>178</v>
      </c>
      <c r="D14" s="29">
        <f>195874800/10^7</f>
        <v>19.587479999999999</v>
      </c>
      <c r="E14" s="29">
        <f>Capex!E14-D14</f>
        <v>41.781019999999998</v>
      </c>
      <c r="F14" s="29">
        <f>Capex!F14</f>
        <v>249.89600000000002</v>
      </c>
      <c r="G14" s="29">
        <f>Capex!G14</f>
        <v>12</v>
      </c>
      <c r="H14" s="29">
        <f>Capex!H14</f>
        <v>0</v>
      </c>
      <c r="I14" s="29">
        <f>Capex!I14</f>
        <v>0</v>
      </c>
      <c r="J14" s="29">
        <f>Capex!J14</f>
        <v>0</v>
      </c>
      <c r="K14" s="29">
        <f>Capex!K14</f>
        <v>0</v>
      </c>
      <c r="L14" s="29">
        <f>Capex!L14</f>
        <v>0</v>
      </c>
      <c r="M14" s="29">
        <f>Capex!M14</f>
        <v>0</v>
      </c>
      <c r="N14" s="29">
        <f>Capex!N14</f>
        <v>0</v>
      </c>
      <c r="O14" s="29">
        <f>Capex!O14</f>
        <v>0</v>
      </c>
      <c r="R14" s="85">
        <f>E14</f>
        <v>41.781019999999998</v>
      </c>
      <c r="S14" s="85">
        <f t="shared" ref="S14:AB14" si="9">F14</f>
        <v>249.89600000000002</v>
      </c>
      <c r="T14" s="85">
        <f t="shared" si="9"/>
        <v>12</v>
      </c>
      <c r="U14" s="85">
        <f t="shared" si="9"/>
        <v>0</v>
      </c>
      <c r="V14" s="85">
        <f t="shared" si="9"/>
        <v>0</v>
      </c>
      <c r="W14" s="85">
        <f t="shared" si="9"/>
        <v>0</v>
      </c>
      <c r="X14" s="85">
        <f t="shared" si="9"/>
        <v>0</v>
      </c>
      <c r="Y14" s="85">
        <f t="shared" si="9"/>
        <v>0</v>
      </c>
      <c r="Z14" s="85">
        <f t="shared" si="9"/>
        <v>0</v>
      </c>
      <c r="AA14" s="85">
        <f t="shared" si="9"/>
        <v>0</v>
      </c>
      <c r="AB14" s="85">
        <f t="shared" si="9"/>
        <v>0</v>
      </c>
    </row>
    <row r="15" spans="2:28" x14ac:dyDescent="0.35">
      <c r="B15" t="s">
        <v>179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R15" s="85">
        <f>E15</f>
        <v>0</v>
      </c>
    </row>
    <row r="16" spans="2:28" x14ac:dyDescent="0.35">
      <c r="B16" t="s">
        <v>9</v>
      </c>
      <c r="C16" s="24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Q16" s="24">
        <v>0</v>
      </c>
    </row>
    <row r="17" spans="2:28" x14ac:dyDescent="0.35">
      <c r="B17" s="22" t="s">
        <v>75</v>
      </c>
      <c r="C17" s="22"/>
      <c r="D17" s="70">
        <f>D13+D14-D15-D16</f>
        <v>19.587479999999999</v>
      </c>
      <c r="E17" s="70">
        <f>E13+E14-E15-E16</f>
        <v>61.368499999999997</v>
      </c>
      <c r="F17" s="70">
        <f t="shared" ref="F17:O17" si="10">F13+F14-F15-F16</f>
        <v>311.2645</v>
      </c>
      <c r="G17" s="70">
        <f t="shared" si="10"/>
        <v>323.2645</v>
      </c>
      <c r="H17" s="70">
        <f t="shared" si="10"/>
        <v>323.2645</v>
      </c>
      <c r="I17" s="70">
        <f t="shared" si="10"/>
        <v>323.2645</v>
      </c>
      <c r="J17" s="70">
        <f t="shared" si="10"/>
        <v>323.2645</v>
      </c>
      <c r="K17" s="70">
        <f t="shared" si="10"/>
        <v>323.2645</v>
      </c>
      <c r="L17" s="70">
        <f t="shared" si="10"/>
        <v>323.2645</v>
      </c>
      <c r="M17" s="70">
        <f t="shared" si="10"/>
        <v>323.2645</v>
      </c>
      <c r="N17" s="70">
        <f t="shared" si="10"/>
        <v>323.2645</v>
      </c>
      <c r="O17" s="70">
        <f t="shared" si="10"/>
        <v>323.2645</v>
      </c>
      <c r="R17" s="136">
        <f>SUM(R13:R16)</f>
        <v>61.368499999999997</v>
      </c>
      <c r="S17" s="136">
        <f t="shared" ref="S17:AB17" si="11">SUM(S13:S16)</f>
        <v>311.2645</v>
      </c>
      <c r="T17" s="136">
        <f t="shared" si="11"/>
        <v>323.2645</v>
      </c>
      <c r="U17" s="136">
        <f t="shared" si="11"/>
        <v>323.2645</v>
      </c>
      <c r="V17" s="136">
        <f t="shared" si="11"/>
        <v>323.2645</v>
      </c>
      <c r="W17" s="136">
        <f t="shared" si="11"/>
        <v>323.2645</v>
      </c>
      <c r="X17" s="136">
        <f t="shared" si="11"/>
        <v>323.2645</v>
      </c>
      <c r="Y17" s="136">
        <f t="shared" si="11"/>
        <v>323.2645</v>
      </c>
      <c r="Z17" s="136">
        <f t="shared" si="11"/>
        <v>323.2645</v>
      </c>
      <c r="AA17" s="136">
        <f t="shared" si="11"/>
        <v>323.2645</v>
      </c>
      <c r="AB17" s="136">
        <f t="shared" si="11"/>
        <v>323.2645</v>
      </c>
    </row>
    <row r="18" spans="2:28" x14ac:dyDescent="0.3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2:28" x14ac:dyDescent="0.35">
      <c r="B19" s="1" t="s">
        <v>184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2:28" x14ac:dyDescent="0.35">
      <c r="B20" t="s">
        <v>74</v>
      </c>
      <c r="D20" s="29"/>
      <c r="E20" s="29">
        <v>0</v>
      </c>
      <c r="F20" s="29">
        <f>E24</f>
        <v>0</v>
      </c>
      <c r="G20" s="29">
        <f t="shared" ref="G20:O20" si="12">F24</f>
        <v>114.00864</v>
      </c>
      <c r="H20" s="29">
        <f t="shared" si="12"/>
        <v>370.26349591232878</v>
      </c>
      <c r="I20" s="29">
        <f t="shared" si="12"/>
        <v>409.36647418421921</v>
      </c>
      <c r="J20" s="29">
        <f t="shared" si="12"/>
        <v>370.47665913671841</v>
      </c>
      <c r="K20" s="29">
        <f t="shared" si="12"/>
        <v>380.22222851873016</v>
      </c>
      <c r="L20" s="29">
        <f t="shared" si="12"/>
        <v>411.51239480945077</v>
      </c>
      <c r="M20" s="29">
        <f t="shared" si="12"/>
        <v>372.41871730255298</v>
      </c>
      <c r="N20" s="29">
        <f t="shared" si="12"/>
        <v>337.03893915881042</v>
      </c>
      <c r="O20" s="29">
        <f t="shared" si="12"/>
        <v>305.02023993872342</v>
      </c>
      <c r="R20" s="85">
        <f>E20</f>
        <v>0</v>
      </c>
      <c r="S20" s="85">
        <f>R24</f>
        <v>0</v>
      </c>
      <c r="T20" s="9">
        <f>S24</f>
        <v>114.00864</v>
      </c>
      <c r="U20" s="9">
        <f t="shared" ref="U20:AB20" si="13">T24</f>
        <v>369.68128832876715</v>
      </c>
      <c r="V20" s="9">
        <f t="shared" si="13"/>
        <v>407.06742305753426</v>
      </c>
      <c r="W20" s="9">
        <f t="shared" si="13"/>
        <v>366.36068075178082</v>
      </c>
      <c r="X20" s="9">
        <f t="shared" si="13"/>
        <v>374.41717267660277</v>
      </c>
      <c r="Y20" s="9">
        <f t="shared" si="13"/>
        <v>404.01429540894247</v>
      </c>
      <c r="Z20" s="9">
        <f t="shared" si="13"/>
        <v>363.61286586804823</v>
      </c>
      <c r="AA20" s="9">
        <f t="shared" si="13"/>
        <v>327.25157928124338</v>
      </c>
      <c r="AB20" s="9">
        <f t="shared" si="13"/>
        <v>294.52642135311908</v>
      </c>
    </row>
    <row r="21" spans="2:28" x14ac:dyDescent="0.35">
      <c r="B21" t="s">
        <v>178</v>
      </c>
      <c r="D21" s="29"/>
      <c r="E21" s="29"/>
      <c r="F21" s="29">
        <f>Capex!F24</f>
        <v>114.00864</v>
      </c>
      <c r="G21" s="29">
        <f>Capex!G24</f>
        <v>267.3168</v>
      </c>
      <c r="H21" s="29">
        <f>Capex!H24</f>
        <v>72.8292</v>
      </c>
      <c r="I21" s="29">
        <f>Capex!I24</f>
        <v>0</v>
      </c>
      <c r="J21" s="29">
        <f>Capex!J24</f>
        <v>49.6584</v>
      </c>
      <c r="K21" s="29">
        <f>Capex!K24</f>
        <v>74.4876</v>
      </c>
      <c r="L21" s="29">
        <f>Capex!L24</f>
        <v>0</v>
      </c>
      <c r="M21" s="29">
        <f>Capex!M24</f>
        <v>0</v>
      </c>
      <c r="N21" s="29">
        <f>Capex!N24</f>
        <v>0</v>
      </c>
      <c r="O21" s="29">
        <f>Capex!O24</f>
        <v>0</v>
      </c>
      <c r="R21" s="85">
        <f>E21</f>
        <v>0</v>
      </c>
      <c r="S21" s="85">
        <f t="shared" ref="S21:AB22" si="14">F21</f>
        <v>114.00864</v>
      </c>
      <c r="T21" s="85">
        <f t="shared" si="14"/>
        <v>267.3168</v>
      </c>
      <c r="U21" s="85">
        <f t="shared" si="14"/>
        <v>72.8292</v>
      </c>
      <c r="V21" s="85">
        <f t="shared" si="14"/>
        <v>0</v>
      </c>
      <c r="W21" s="85">
        <f t="shared" si="14"/>
        <v>49.6584</v>
      </c>
      <c r="X21" s="85">
        <f t="shared" si="14"/>
        <v>74.4876</v>
      </c>
      <c r="Y21" s="85">
        <f t="shared" si="14"/>
        <v>0</v>
      </c>
      <c r="Z21" s="85">
        <f t="shared" si="14"/>
        <v>0</v>
      </c>
      <c r="AA21" s="85">
        <f t="shared" si="14"/>
        <v>0</v>
      </c>
      <c r="AB21" s="85">
        <f t="shared" si="14"/>
        <v>0</v>
      </c>
    </row>
    <row r="22" spans="2:28" x14ac:dyDescent="0.35">
      <c r="B22" t="s">
        <v>179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R22" s="85">
        <f>E22</f>
        <v>0</v>
      </c>
      <c r="S22" s="85">
        <f t="shared" si="14"/>
        <v>0</v>
      </c>
      <c r="T22" s="85">
        <f t="shared" si="14"/>
        <v>0</v>
      </c>
      <c r="U22" s="85">
        <f t="shared" si="14"/>
        <v>0</v>
      </c>
      <c r="V22" s="85">
        <f t="shared" si="14"/>
        <v>0</v>
      </c>
      <c r="W22" s="85">
        <f t="shared" si="14"/>
        <v>0</v>
      </c>
      <c r="X22" s="85">
        <f t="shared" si="14"/>
        <v>0</v>
      </c>
      <c r="Y22" s="85">
        <f t="shared" si="14"/>
        <v>0</v>
      </c>
      <c r="Z22" s="85">
        <f t="shared" si="14"/>
        <v>0</v>
      </c>
      <c r="AA22" s="85">
        <f t="shared" si="14"/>
        <v>0</v>
      </c>
      <c r="AB22" s="85">
        <f t="shared" si="14"/>
        <v>0</v>
      </c>
    </row>
    <row r="23" spans="2:28" x14ac:dyDescent="0.35">
      <c r="B23" t="s">
        <v>9</v>
      </c>
      <c r="C23" s="21">
        <v>9.5000000000000001E-2</v>
      </c>
      <c r="D23" s="29"/>
      <c r="E23" s="29"/>
      <c r="F23" s="29">
        <f>Capex!F67</f>
        <v>0</v>
      </c>
      <c r="G23" s="29">
        <f>Capex!G67</f>
        <v>11.061944087671232</v>
      </c>
      <c r="H23" s="29">
        <f>Capex!H67</f>
        <v>33.726221728109586</v>
      </c>
      <c r="I23" s="29">
        <f>Capex!I67</f>
        <v>38.889815047500818</v>
      </c>
      <c r="J23" s="29">
        <f>Capex!J67</f>
        <v>39.912830617988234</v>
      </c>
      <c r="K23" s="29">
        <f>Capex!K67</f>
        <v>43.197433709279359</v>
      </c>
      <c r="L23" s="29">
        <f>Capex!L67</f>
        <v>39.093677506897819</v>
      </c>
      <c r="M23" s="29">
        <f>Capex!M67</f>
        <v>35.379778143742527</v>
      </c>
      <c r="N23" s="29">
        <f>Capex!N67</f>
        <v>32.01869922008698</v>
      </c>
      <c r="O23" s="29">
        <f>Capex!O67</f>
        <v>28.976922794178723</v>
      </c>
      <c r="Q23" s="24">
        <v>0.1</v>
      </c>
      <c r="S23" s="3">
        <f>Capex!F90</f>
        <v>0</v>
      </c>
      <c r="T23" s="3">
        <f>Capex!G90</f>
        <v>11.644151671232878</v>
      </c>
      <c r="U23" s="3">
        <f>Capex!H90</f>
        <v>35.443065271232882</v>
      </c>
      <c r="V23" s="3">
        <f>Capex!I90</f>
        <v>40.706742305753423</v>
      </c>
      <c r="W23" s="3">
        <f>Capex!J90</f>
        <v>41.601908075178081</v>
      </c>
      <c r="X23" s="3">
        <f>Capex!K90</f>
        <v>44.890477267660273</v>
      </c>
      <c r="Y23" s="3">
        <f>Capex!L90</f>
        <v>40.401429540894249</v>
      </c>
      <c r="Z23" s="3">
        <f>Capex!M90</f>
        <v>36.361286586804823</v>
      </c>
      <c r="AA23" s="3">
        <f>Capex!N90</f>
        <v>32.725157928124332</v>
      </c>
      <c r="AB23" s="3">
        <f>Capex!O90</f>
        <v>29.452642135311901</v>
      </c>
    </row>
    <row r="24" spans="2:28" x14ac:dyDescent="0.35">
      <c r="B24" s="22" t="s">
        <v>75</v>
      </c>
      <c r="C24" s="22"/>
      <c r="D24" s="70">
        <v>0</v>
      </c>
      <c r="E24" s="70">
        <v>0</v>
      </c>
      <c r="F24" s="70">
        <f t="shared" ref="F24:O24" si="15">F20+F21-F22-F23</f>
        <v>114.00864</v>
      </c>
      <c r="G24" s="70">
        <f t="shared" si="15"/>
        <v>370.26349591232878</v>
      </c>
      <c r="H24" s="70">
        <f t="shared" si="15"/>
        <v>409.36647418421921</v>
      </c>
      <c r="I24" s="70">
        <f t="shared" si="15"/>
        <v>370.47665913671841</v>
      </c>
      <c r="J24" s="70">
        <f t="shared" si="15"/>
        <v>380.22222851873016</v>
      </c>
      <c r="K24" s="70">
        <f t="shared" si="15"/>
        <v>411.51239480945077</v>
      </c>
      <c r="L24" s="70">
        <f t="shared" si="15"/>
        <v>372.41871730255298</v>
      </c>
      <c r="M24" s="70">
        <f t="shared" si="15"/>
        <v>337.03893915881042</v>
      </c>
      <c r="N24" s="70">
        <f t="shared" si="15"/>
        <v>305.02023993872342</v>
      </c>
      <c r="O24" s="70">
        <f t="shared" si="15"/>
        <v>276.04331714454469</v>
      </c>
      <c r="R24" s="136">
        <f>SUM(R20:R23)</f>
        <v>0</v>
      </c>
      <c r="S24" s="69">
        <f>S20+S21-S22-S23</f>
        <v>114.00864</v>
      </c>
      <c r="T24" s="69">
        <f t="shared" ref="T24:AB24" si="16">T20+T21-T22-T23</f>
        <v>369.68128832876715</v>
      </c>
      <c r="U24" s="69">
        <f t="shared" si="16"/>
        <v>407.06742305753426</v>
      </c>
      <c r="V24" s="69">
        <f t="shared" si="16"/>
        <v>366.36068075178082</v>
      </c>
      <c r="W24" s="69">
        <f t="shared" si="16"/>
        <v>374.41717267660277</v>
      </c>
      <c r="X24" s="69">
        <f t="shared" si="16"/>
        <v>404.01429540894247</v>
      </c>
      <c r="Y24" s="69">
        <f t="shared" si="16"/>
        <v>363.61286586804823</v>
      </c>
      <c r="Z24" s="69">
        <f t="shared" si="16"/>
        <v>327.25157928124338</v>
      </c>
      <c r="AA24" s="69">
        <f t="shared" si="16"/>
        <v>294.52642135311908</v>
      </c>
      <c r="AB24" s="69">
        <f t="shared" si="16"/>
        <v>265.07377921780716</v>
      </c>
    </row>
    <row r="25" spans="2:28" x14ac:dyDescent="0.35"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28" x14ac:dyDescent="0.35">
      <c r="B26" s="1" t="s">
        <v>185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2:28" x14ac:dyDescent="0.35">
      <c r="B27" t="s">
        <v>74</v>
      </c>
      <c r="D27" s="29"/>
      <c r="E27" s="29"/>
      <c r="F27" s="29"/>
      <c r="G27" s="29">
        <f>F31</f>
        <v>0</v>
      </c>
      <c r="H27" s="29">
        <f t="shared" ref="H27:O27" si="17">G31</f>
        <v>189.60467698630137</v>
      </c>
      <c r="I27" s="29">
        <f t="shared" si="17"/>
        <v>811.0363033284932</v>
      </c>
      <c r="J27" s="29">
        <f t="shared" si="17"/>
        <v>1234.2897908369948</v>
      </c>
      <c r="K27" s="29">
        <f t="shared" si="17"/>
        <v>1621.839698695499</v>
      </c>
      <c r="L27" s="29">
        <f t="shared" si="17"/>
        <v>2015.6985232316138</v>
      </c>
      <c r="M27" s="29">
        <f t="shared" si="17"/>
        <v>2348.7866605266918</v>
      </c>
      <c r="N27" s="29">
        <f t="shared" si="17"/>
        <v>2327.9252049713605</v>
      </c>
      <c r="O27" s="29">
        <f t="shared" si="17"/>
        <v>2310.8396728715443</v>
      </c>
      <c r="R27">
        <v>0</v>
      </c>
      <c r="T27" s="9">
        <f>S31</f>
        <v>0</v>
      </c>
      <c r="U27" s="9">
        <f t="shared" ref="U27:AB27" si="18">T31</f>
        <v>190.53730136986303</v>
      </c>
      <c r="V27" s="9">
        <f t="shared" si="18"/>
        <v>815.13941849315086</v>
      </c>
      <c r="W27" s="9">
        <f t="shared" si="18"/>
        <v>1242.6186646232879</v>
      </c>
      <c r="X27" s="9">
        <f t="shared" si="18"/>
        <v>1632.9098649297948</v>
      </c>
      <c r="Y27" s="9">
        <f t="shared" si="18"/>
        <v>2030.4348851903258</v>
      </c>
      <c r="Z27" s="9">
        <f t="shared" si="18"/>
        <v>2365.6751524117772</v>
      </c>
      <c r="AA27" s="9">
        <f t="shared" si="18"/>
        <v>2345.8533795500107</v>
      </c>
      <c r="AB27" s="9">
        <f t="shared" si="18"/>
        <v>2329.0048726175091</v>
      </c>
    </row>
    <row r="28" spans="2:28" x14ac:dyDescent="0.35">
      <c r="B28" t="s">
        <v>178</v>
      </c>
      <c r="D28" s="29"/>
      <c r="E28" s="29"/>
      <c r="F28" s="29">
        <f>Capex!F43</f>
        <v>0</v>
      </c>
      <c r="G28" s="29">
        <f>Capex!G43</f>
        <v>195.05</v>
      </c>
      <c r="H28" s="29">
        <f>Capex!H43</f>
        <v>640.7600000000001</v>
      </c>
      <c r="I28" s="29">
        <f>Capex!I43</f>
        <v>451.52000000000004</v>
      </c>
      <c r="J28" s="29">
        <f>Capex!J43</f>
        <v>410.85</v>
      </c>
      <c r="K28" s="29">
        <f>Capex!K43</f>
        <v>424.96000000000004</v>
      </c>
      <c r="L28" s="29">
        <f>Capex!L43</f>
        <v>358.56</v>
      </c>
      <c r="M28" s="29">
        <f>Capex!M43</f>
        <v>0</v>
      </c>
      <c r="N28" s="29">
        <f>Capex!N43</f>
        <v>0</v>
      </c>
      <c r="O28" s="29">
        <f>Capex!O43</f>
        <v>0</v>
      </c>
      <c r="R28" s="85">
        <f>E28</f>
        <v>0</v>
      </c>
      <c r="S28" s="85">
        <f t="shared" ref="S28:AB28" si="19">F28</f>
        <v>0</v>
      </c>
      <c r="T28" s="85">
        <f t="shared" si="19"/>
        <v>195.05</v>
      </c>
      <c r="U28" s="85">
        <f t="shared" si="19"/>
        <v>640.7600000000001</v>
      </c>
      <c r="V28" s="85">
        <f t="shared" si="19"/>
        <v>451.52000000000004</v>
      </c>
      <c r="W28" s="85">
        <f t="shared" si="19"/>
        <v>410.85</v>
      </c>
      <c r="X28" s="85">
        <f t="shared" si="19"/>
        <v>424.96000000000004</v>
      </c>
      <c r="Y28" s="85">
        <f t="shared" si="19"/>
        <v>358.56</v>
      </c>
      <c r="Z28" s="85">
        <f t="shared" si="19"/>
        <v>0</v>
      </c>
      <c r="AA28" s="85">
        <f t="shared" si="19"/>
        <v>0</v>
      </c>
      <c r="AB28" s="85">
        <f t="shared" si="19"/>
        <v>0</v>
      </c>
    </row>
    <row r="29" spans="2:28" x14ac:dyDescent="0.35">
      <c r="B29" t="s">
        <v>179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2:28" x14ac:dyDescent="0.35">
      <c r="B30" t="s">
        <v>9</v>
      </c>
      <c r="C30" s="21">
        <v>0.18099999999999999</v>
      </c>
      <c r="D30" s="29"/>
      <c r="E30" s="29"/>
      <c r="F30" s="29">
        <f>Capex!F77</f>
        <v>0</v>
      </c>
      <c r="G30" s="29">
        <f>Capex!G77</f>
        <v>5.4453230136986317</v>
      </c>
      <c r="H30" s="29">
        <f>Capex!H77</f>
        <v>19.328373657808228</v>
      </c>
      <c r="I30" s="29">
        <f>Capex!I77</f>
        <v>28.266512491498361</v>
      </c>
      <c r="J30" s="29">
        <f>Capex!J77</f>
        <v>23.300092141496059</v>
      </c>
      <c r="K30" s="29">
        <f>Capex!K77</f>
        <v>31.101175463885276</v>
      </c>
      <c r="L30" s="29">
        <f>Capex!L77</f>
        <v>25.471862704922039</v>
      </c>
      <c r="M30" s="29">
        <f>Capex!M77</f>
        <v>20.861455555331151</v>
      </c>
      <c r="N30" s="29">
        <f>Capex!N77</f>
        <v>17.085532099816213</v>
      </c>
      <c r="O30" s="29">
        <f>Capex!O77</f>
        <v>13.99305078974948</v>
      </c>
      <c r="Q30" s="24">
        <v>0.15</v>
      </c>
      <c r="S30" s="3">
        <f>Capex!F101</f>
        <v>0</v>
      </c>
      <c r="T30" s="3">
        <f>Capex!G101</f>
        <v>4.5126986301369874</v>
      </c>
      <c r="U30" s="3">
        <f>Capex!H101</f>
        <v>16.157882876712328</v>
      </c>
      <c r="V30" s="3">
        <f>Capex!I101</f>
        <v>24.040753869863014</v>
      </c>
      <c r="W30" s="3">
        <f>Capex!J101</f>
        <v>20.558799693493153</v>
      </c>
      <c r="X30" s="3">
        <f>Capex!K101</f>
        <v>27.434979739469181</v>
      </c>
      <c r="Y30" s="3">
        <f>Capex!L101</f>
        <v>23.319732778548801</v>
      </c>
      <c r="Z30" s="3">
        <f>Capex!M101</f>
        <v>19.821772861766483</v>
      </c>
      <c r="AA30" s="3">
        <f>Capex!N101</f>
        <v>16.848506932501511</v>
      </c>
      <c r="AB30" s="3">
        <f>Capex!O101</f>
        <v>14.32123089262628</v>
      </c>
    </row>
    <row r="31" spans="2:28" x14ac:dyDescent="0.35">
      <c r="B31" s="22" t="s">
        <v>75</v>
      </c>
      <c r="C31" s="22"/>
      <c r="D31" s="70"/>
      <c r="E31" s="70"/>
      <c r="F31" s="70">
        <f t="shared" ref="F31" si="20">F27+F28-F29-F30</f>
        <v>0</v>
      </c>
      <c r="G31" s="70">
        <f t="shared" ref="G31" si="21">G27+G28-G29-G30</f>
        <v>189.60467698630137</v>
      </c>
      <c r="H31" s="70">
        <f t="shared" ref="H31" si="22">H27+H28-H29-H30</f>
        <v>811.0363033284932</v>
      </c>
      <c r="I31" s="70">
        <f t="shared" ref="I31" si="23">I27+I28-I29-I30</f>
        <v>1234.2897908369948</v>
      </c>
      <c r="J31" s="70">
        <f t="shared" ref="J31" si="24">J27+J28-J29-J30</f>
        <v>1621.839698695499</v>
      </c>
      <c r="K31" s="70">
        <f t="shared" ref="K31" si="25">K27+K28-K29-K30</f>
        <v>2015.6985232316138</v>
      </c>
      <c r="L31" s="70">
        <f t="shared" ref="L31" si="26">L27+L28-L29-L30</f>
        <v>2348.7866605266918</v>
      </c>
      <c r="M31" s="70">
        <f t="shared" ref="M31" si="27">M27+M28-M29-M30</f>
        <v>2327.9252049713605</v>
      </c>
      <c r="N31" s="70">
        <f t="shared" ref="N31" si="28">N27+N28-N29-N30</f>
        <v>2310.8396728715443</v>
      </c>
      <c r="O31" s="70">
        <f t="shared" ref="O31" si="29">O27+O28-O29-O30</f>
        <v>2296.846622081795</v>
      </c>
      <c r="R31" s="22"/>
      <c r="S31" s="69">
        <f>S27+S28-S29-S30</f>
        <v>0</v>
      </c>
      <c r="T31" s="69">
        <f t="shared" ref="T31:AB31" si="30">T27+T28-T29-T30</f>
        <v>190.53730136986303</v>
      </c>
      <c r="U31" s="69">
        <f t="shared" si="30"/>
        <v>815.13941849315086</v>
      </c>
      <c r="V31" s="69">
        <f t="shared" si="30"/>
        <v>1242.6186646232879</v>
      </c>
      <c r="W31" s="69">
        <f t="shared" si="30"/>
        <v>1632.9098649297948</v>
      </c>
      <c r="X31" s="69">
        <f t="shared" si="30"/>
        <v>2030.4348851903258</v>
      </c>
      <c r="Y31" s="69">
        <f t="shared" si="30"/>
        <v>2365.6751524117772</v>
      </c>
      <c r="Z31" s="69">
        <f t="shared" si="30"/>
        <v>2345.8533795500107</v>
      </c>
      <c r="AA31" s="69">
        <f t="shared" si="30"/>
        <v>2329.0048726175091</v>
      </c>
      <c r="AB31" s="69">
        <f t="shared" si="30"/>
        <v>2314.6836417248828</v>
      </c>
    </row>
    <row r="32" spans="2:28" x14ac:dyDescent="0.35"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2:28" x14ac:dyDescent="0.35">
      <c r="B33" s="1" t="s">
        <v>196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28" x14ac:dyDescent="0.35">
      <c r="B34" t="s">
        <v>74</v>
      </c>
      <c r="D34" s="29"/>
      <c r="E34" s="29"/>
      <c r="F34" s="29"/>
      <c r="G34" s="29">
        <f>F38</f>
        <v>16.600000000000001</v>
      </c>
      <c r="H34" s="29">
        <f>G38</f>
        <v>39.997700000000002</v>
      </c>
      <c r="I34" s="29">
        <f t="shared" ref="I34:O34" si="31">H38</f>
        <v>57.658116300000003</v>
      </c>
      <c r="J34" s="29">
        <f t="shared" si="31"/>
        <v>63.6559972497</v>
      </c>
      <c r="K34" s="29">
        <f t="shared" si="31"/>
        <v>52.134261747504297</v>
      </c>
      <c r="L34" s="29">
        <f t="shared" si="31"/>
        <v>42.697960371206023</v>
      </c>
      <c r="M34" s="29">
        <f t="shared" si="31"/>
        <v>34.969629544017735</v>
      </c>
      <c r="N34" s="29">
        <f t="shared" si="31"/>
        <v>28.640126596550523</v>
      </c>
      <c r="O34" s="29">
        <f t="shared" si="31"/>
        <v>23.456263682574878</v>
      </c>
      <c r="R34">
        <v>0</v>
      </c>
      <c r="S34" s="133">
        <f>R38</f>
        <v>0</v>
      </c>
      <c r="T34" s="133">
        <f t="shared" ref="T34:AB34" si="32">S38</f>
        <v>15.355</v>
      </c>
      <c r="U34" s="133">
        <f t="shared" si="32"/>
        <v>34.216749999999998</v>
      </c>
      <c r="V34" s="133">
        <f t="shared" si="32"/>
        <v>50.249237499999992</v>
      </c>
      <c r="W34" s="133">
        <f t="shared" si="32"/>
        <v>56.680751874999991</v>
      </c>
      <c r="X34" s="133">
        <f t="shared" si="32"/>
        <v>48.178639093749993</v>
      </c>
      <c r="Y34" s="133">
        <f t="shared" si="32"/>
        <v>40.951843229687498</v>
      </c>
      <c r="Z34" s="133">
        <f t="shared" si="32"/>
        <v>34.809066745234375</v>
      </c>
      <c r="AA34" s="133">
        <f t="shared" si="32"/>
        <v>29.58770673344922</v>
      </c>
      <c r="AB34" s="133">
        <f t="shared" si="32"/>
        <v>25.149550723431837</v>
      </c>
    </row>
    <row r="35" spans="2:28" x14ac:dyDescent="0.35">
      <c r="B35" t="s">
        <v>178</v>
      </c>
      <c r="D35" s="29"/>
      <c r="E35" s="29"/>
      <c r="F35" s="29">
        <f>Capex!F125</f>
        <v>16.600000000000001</v>
      </c>
      <c r="G35" s="29">
        <f>Capex!G125</f>
        <v>24.9</v>
      </c>
      <c r="H35" s="29">
        <f>Capex!H125</f>
        <v>24.9</v>
      </c>
      <c r="I35" s="29">
        <f>Capex!I125</f>
        <v>16.434000000000001</v>
      </c>
      <c r="J35" s="29">
        <f>Capex!J125</f>
        <v>0</v>
      </c>
      <c r="K35" s="29">
        <f>Capex!K125</f>
        <v>0</v>
      </c>
      <c r="L35" s="29">
        <f>Capex!L125</f>
        <v>0</v>
      </c>
      <c r="M35" s="29">
        <f>Capex!M125</f>
        <v>0</v>
      </c>
      <c r="N35" s="29">
        <f>Capex!N125</f>
        <v>0</v>
      </c>
      <c r="O35" s="29">
        <f>Capex!O125</f>
        <v>0</v>
      </c>
      <c r="R35" s="85">
        <f>E35</f>
        <v>0</v>
      </c>
      <c r="S35" s="85">
        <f t="shared" ref="S35:AB35" si="33">F35</f>
        <v>16.600000000000001</v>
      </c>
      <c r="T35" s="85">
        <f t="shared" si="33"/>
        <v>24.9</v>
      </c>
      <c r="U35" s="85">
        <f t="shared" si="33"/>
        <v>24.9</v>
      </c>
      <c r="V35" s="85">
        <f t="shared" si="33"/>
        <v>16.434000000000001</v>
      </c>
      <c r="W35" s="85">
        <f t="shared" si="33"/>
        <v>0</v>
      </c>
      <c r="X35" s="85">
        <f t="shared" si="33"/>
        <v>0</v>
      </c>
      <c r="Y35" s="85">
        <f t="shared" si="33"/>
        <v>0</v>
      </c>
      <c r="Z35" s="85">
        <f t="shared" si="33"/>
        <v>0</v>
      </c>
      <c r="AA35" s="85">
        <f t="shared" si="33"/>
        <v>0</v>
      </c>
      <c r="AB35" s="85">
        <f t="shared" si="33"/>
        <v>0</v>
      </c>
    </row>
    <row r="36" spans="2:28" x14ac:dyDescent="0.35">
      <c r="B36" t="s">
        <v>179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28" x14ac:dyDescent="0.35">
      <c r="B37" t="s">
        <v>9</v>
      </c>
      <c r="C37" s="21">
        <v>0.18099999999999999</v>
      </c>
      <c r="D37" s="29"/>
      <c r="E37" s="29"/>
      <c r="F37" s="29"/>
      <c r="G37" s="29">
        <f>Capex!F126</f>
        <v>1.5023000000000002</v>
      </c>
      <c r="H37" s="29">
        <f>Capex!G126</f>
        <v>7.2395836999999998</v>
      </c>
      <c r="I37" s="29">
        <f>Capex!H126</f>
        <v>10.4361190503</v>
      </c>
      <c r="J37" s="29">
        <f>Capex!I126</f>
        <v>11.521735502195702</v>
      </c>
      <c r="K37" s="29">
        <f>Capex!J126</f>
        <v>9.4363013762982781</v>
      </c>
      <c r="L37" s="29">
        <f>Capex!K126</f>
        <v>7.72833082718829</v>
      </c>
      <c r="M37" s="29">
        <f>Capex!L126</f>
        <v>6.3295029474672102</v>
      </c>
      <c r="N37" s="29">
        <f>Capex!M126</f>
        <v>5.1838629139756449</v>
      </c>
      <c r="O37" s="29">
        <f>Capex!N126</f>
        <v>4.2455837265460525</v>
      </c>
      <c r="Q37" s="24">
        <v>0.15</v>
      </c>
      <c r="S37" s="3">
        <f>Capex!F119</f>
        <v>1.2450000000000001</v>
      </c>
      <c r="T37" s="3">
        <f>Capex!G119</f>
        <v>6.0382499999999997</v>
      </c>
      <c r="U37" s="3">
        <f>Capex!H119</f>
        <v>8.8675125000000001</v>
      </c>
      <c r="V37" s="3">
        <f>Capex!I119</f>
        <v>10.002485624999998</v>
      </c>
      <c r="W37" s="3">
        <f>Capex!J119</f>
        <v>8.5021127812499984</v>
      </c>
      <c r="X37" s="3">
        <f>Capex!K119</f>
        <v>7.226795864062499</v>
      </c>
      <c r="Y37" s="3">
        <f>Capex!L119</f>
        <v>6.1427764844531243</v>
      </c>
      <c r="Z37" s="3">
        <f>Capex!M119</f>
        <v>5.2213600117851557</v>
      </c>
      <c r="AA37" s="3">
        <f>Capex!N119</f>
        <v>4.4381560100173827</v>
      </c>
      <c r="AB37" s="3">
        <f>Capex!O119</f>
        <v>3.7724326085147752</v>
      </c>
    </row>
    <row r="38" spans="2:28" x14ac:dyDescent="0.35">
      <c r="B38" s="22" t="s">
        <v>75</v>
      </c>
      <c r="C38" s="22"/>
      <c r="D38" s="70"/>
      <c r="E38" s="70"/>
      <c r="F38" s="70">
        <f t="shared" ref="F38:M38" si="34">F34+F35-F36-F37</f>
        <v>16.600000000000001</v>
      </c>
      <c r="G38" s="70">
        <f t="shared" si="34"/>
        <v>39.997700000000002</v>
      </c>
      <c r="H38" s="70">
        <f t="shared" si="34"/>
        <v>57.658116300000003</v>
      </c>
      <c r="I38" s="70">
        <f t="shared" si="34"/>
        <v>63.6559972497</v>
      </c>
      <c r="J38" s="70">
        <f t="shared" si="34"/>
        <v>52.134261747504297</v>
      </c>
      <c r="K38" s="70">
        <f t="shared" si="34"/>
        <v>42.697960371206023</v>
      </c>
      <c r="L38" s="70">
        <f t="shared" si="34"/>
        <v>34.969629544017735</v>
      </c>
      <c r="M38" s="70">
        <f t="shared" si="34"/>
        <v>28.640126596550523</v>
      </c>
      <c r="N38" s="70">
        <f t="shared" ref="N38" si="35">N34+N35-N36-N37</f>
        <v>23.456263682574878</v>
      </c>
      <c r="O38" s="70">
        <f t="shared" ref="O38" si="36">O34+O35-O36-O37</f>
        <v>19.210679956028827</v>
      </c>
      <c r="R38" s="137">
        <f>R34+R35-R36-R37</f>
        <v>0</v>
      </c>
      <c r="S38" s="137">
        <f t="shared" ref="S38:AB38" si="37">S34+S35-S36-S37</f>
        <v>15.355</v>
      </c>
      <c r="T38" s="137">
        <f t="shared" si="37"/>
        <v>34.216749999999998</v>
      </c>
      <c r="U38" s="137">
        <f t="shared" si="37"/>
        <v>50.249237499999992</v>
      </c>
      <c r="V38" s="137">
        <f t="shared" si="37"/>
        <v>56.680751874999991</v>
      </c>
      <c r="W38" s="137">
        <f t="shared" si="37"/>
        <v>48.178639093749993</v>
      </c>
      <c r="X38" s="137">
        <f t="shared" si="37"/>
        <v>40.951843229687498</v>
      </c>
      <c r="Y38" s="137">
        <f t="shared" si="37"/>
        <v>34.809066745234375</v>
      </c>
      <c r="Z38" s="137">
        <f t="shared" si="37"/>
        <v>29.58770673344922</v>
      </c>
      <c r="AA38" s="137">
        <f t="shared" si="37"/>
        <v>25.149550723431837</v>
      </c>
      <c r="AB38" s="137">
        <f t="shared" si="37"/>
        <v>21.37711811491706</v>
      </c>
    </row>
    <row r="39" spans="2:28" x14ac:dyDescent="0.35">
      <c r="B39" s="4"/>
      <c r="C39" s="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2:28" x14ac:dyDescent="0.35">
      <c r="B40" s="5" t="s">
        <v>197</v>
      </c>
      <c r="C40" s="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2:28" x14ac:dyDescent="0.35">
      <c r="B41" s="132" t="s">
        <v>198</v>
      </c>
      <c r="C41" s="4"/>
      <c r="D41" s="84"/>
      <c r="E41" s="84"/>
      <c r="F41" s="84"/>
      <c r="G41" s="134">
        <v>120</v>
      </c>
      <c r="H41" s="134">
        <v>118</v>
      </c>
      <c r="I41" s="134">
        <v>105</v>
      </c>
      <c r="J41" s="134">
        <v>23</v>
      </c>
      <c r="K41" s="134">
        <v>0</v>
      </c>
      <c r="L41" s="134">
        <v>120</v>
      </c>
      <c r="M41" s="134">
        <v>118</v>
      </c>
      <c r="N41" s="134">
        <v>105</v>
      </c>
      <c r="O41" s="134">
        <v>23</v>
      </c>
    </row>
    <row r="42" spans="2:28" x14ac:dyDescent="0.35">
      <c r="B42" t="s">
        <v>74</v>
      </c>
      <c r="C42" s="4"/>
      <c r="D42" s="84"/>
      <c r="E42" s="84"/>
      <c r="F42" s="84"/>
      <c r="G42" s="84"/>
      <c r="H42" s="84">
        <f>G46</f>
        <v>0.32841599999999999</v>
      </c>
      <c r="I42" s="84">
        <f t="shared" ref="I42:O42" si="38">H46</f>
        <v>0.44393085440000002</v>
      </c>
      <c r="J42" s="84">
        <f t="shared" si="38"/>
        <v>0.45090812676095993</v>
      </c>
      <c r="K42" s="84">
        <f t="shared" si="38"/>
        <v>0.2290609538987376</v>
      </c>
      <c r="L42" s="84">
        <f t="shared" si="38"/>
        <v>8.4386055416294931E-2</v>
      </c>
      <c r="M42" s="84">
        <f t="shared" si="38"/>
        <v>0.35950382281536308</v>
      </c>
      <c r="N42" s="84">
        <f t="shared" si="38"/>
        <v>0.45538360832517971</v>
      </c>
      <c r="O42" s="84">
        <f t="shared" si="38"/>
        <v>0.45512732130699618</v>
      </c>
      <c r="T42" s="3">
        <v>0</v>
      </c>
      <c r="U42" s="9">
        <f>T46</f>
        <v>0.28799999999999998</v>
      </c>
      <c r="V42" s="9">
        <f t="shared" ref="V42:AB42" si="39">U46</f>
        <v>0.45599999999999996</v>
      </c>
      <c r="W42" s="9">
        <f t="shared" si="39"/>
        <v>0.52559999999999985</v>
      </c>
      <c r="X42" s="9">
        <f t="shared" si="39"/>
        <v>0.37055999999999989</v>
      </c>
      <c r="Y42" s="9">
        <f t="shared" si="39"/>
        <v>0.22233599999999992</v>
      </c>
      <c r="Z42" s="9">
        <f t="shared" si="39"/>
        <v>0.42140159999999988</v>
      </c>
      <c r="AA42" s="9">
        <f t="shared" si="39"/>
        <v>0.53604095999999979</v>
      </c>
      <c r="AB42" s="9">
        <f t="shared" si="39"/>
        <v>0.57362457599999983</v>
      </c>
    </row>
    <row r="43" spans="2:28" x14ac:dyDescent="0.35">
      <c r="B43" t="s">
        <v>178</v>
      </c>
      <c r="C43" s="18">
        <f>40000</f>
        <v>40000</v>
      </c>
      <c r="D43" s="84"/>
      <c r="E43" s="84"/>
      <c r="G43" s="9">
        <f>G41*$C$43/10^7</f>
        <v>0.48</v>
      </c>
      <c r="H43" s="9">
        <f t="shared" ref="H43:O43" si="40">H41*$C$43/10^7</f>
        <v>0.47199999999999998</v>
      </c>
      <c r="I43" s="9">
        <f t="shared" si="40"/>
        <v>0.42</v>
      </c>
      <c r="J43" s="9">
        <f t="shared" si="40"/>
        <v>9.1999999999999998E-2</v>
      </c>
      <c r="K43" s="9">
        <f t="shared" si="40"/>
        <v>0</v>
      </c>
      <c r="L43" s="9">
        <f t="shared" si="40"/>
        <v>0.48</v>
      </c>
      <c r="M43" s="9">
        <f t="shared" si="40"/>
        <v>0.47199999999999998</v>
      </c>
      <c r="N43" s="9">
        <f t="shared" si="40"/>
        <v>0.42</v>
      </c>
      <c r="O43" s="9">
        <f t="shared" si="40"/>
        <v>9.1999999999999998E-2</v>
      </c>
      <c r="T43" s="9">
        <f>G43</f>
        <v>0.48</v>
      </c>
      <c r="U43" s="9">
        <f t="shared" ref="U43:AB43" si="41">H43</f>
        <v>0.47199999999999998</v>
      </c>
      <c r="V43" s="9">
        <f t="shared" si="41"/>
        <v>0.42</v>
      </c>
      <c r="W43" s="9">
        <f t="shared" si="41"/>
        <v>9.1999999999999998E-2</v>
      </c>
      <c r="X43" s="9">
        <f t="shared" si="41"/>
        <v>0</v>
      </c>
      <c r="Y43" s="9">
        <f t="shared" si="41"/>
        <v>0.48</v>
      </c>
      <c r="Z43" s="9">
        <f t="shared" si="41"/>
        <v>0.47199999999999998</v>
      </c>
      <c r="AA43" s="9">
        <f t="shared" si="41"/>
        <v>0.42</v>
      </c>
      <c r="AB43" s="9">
        <f t="shared" si="41"/>
        <v>9.1999999999999998E-2</v>
      </c>
    </row>
    <row r="44" spans="2:28" x14ac:dyDescent="0.35">
      <c r="B44" t="s">
        <v>179</v>
      </c>
      <c r="C44" s="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2:28" x14ac:dyDescent="0.35">
      <c r="B45" t="s">
        <v>9</v>
      </c>
      <c r="C45" s="131">
        <v>0.63160000000000005</v>
      </c>
      <c r="D45" s="84"/>
      <c r="E45" s="84"/>
      <c r="F45" s="84"/>
      <c r="G45" s="13">
        <f t="shared" ref="G45:K45" si="42">G43*$C$45/2+G42*$C$45-G44*$C$45</f>
        <v>0.151584</v>
      </c>
      <c r="H45" s="13">
        <f t="shared" si="42"/>
        <v>0.3564851456</v>
      </c>
      <c r="I45" s="13">
        <f t="shared" si="42"/>
        <v>0.41302272763904002</v>
      </c>
      <c r="J45" s="13">
        <f t="shared" si="42"/>
        <v>0.3138471728622223</v>
      </c>
      <c r="K45" s="13">
        <f t="shared" si="42"/>
        <v>0.14467489848244267</v>
      </c>
      <c r="L45" s="13">
        <f>L43*$C$45/2+L42*$C$45-L44*$C$45</f>
        <v>0.20488223260093189</v>
      </c>
      <c r="M45" s="13">
        <f t="shared" ref="M45:O45" si="43">M43*$C$45/2+M42*$C$45-M44*$C$45</f>
        <v>0.37612021449018335</v>
      </c>
      <c r="N45" s="13">
        <f t="shared" si="43"/>
        <v>0.42025628701818352</v>
      </c>
      <c r="O45" s="13">
        <f t="shared" si="43"/>
        <v>0.3165120161374988</v>
      </c>
      <c r="Q45" s="24">
        <v>0.4</v>
      </c>
      <c r="T45" s="9">
        <f>SUM(T42:T43)*$Q$45</f>
        <v>0.192</v>
      </c>
      <c r="U45" s="9">
        <f t="shared" ref="U45:AB45" si="44">SUM(U42:U43)*$Q$45</f>
        <v>0.30400000000000005</v>
      </c>
      <c r="V45" s="9">
        <f t="shared" si="44"/>
        <v>0.35039999999999999</v>
      </c>
      <c r="W45" s="9">
        <f t="shared" si="44"/>
        <v>0.24703999999999993</v>
      </c>
      <c r="X45" s="9">
        <f t="shared" si="44"/>
        <v>0.14822399999999997</v>
      </c>
      <c r="Y45" s="9">
        <f t="shared" si="44"/>
        <v>0.28093439999999997</v>
      </c>
      <c r="Z45" s="9">
        <f t="shared" si="44"/>
        <v>0.35736063999999995</v>
      </c>
      <c r="AA45" s="9">
        <f t="shared" si="44"/>
        <v>0.38241638399999989</v>
      </c>
      <c r="AB45" s="9">
        <f t="shared" si="44"/>
        <v>0.26624983039999994</v>
      </c>
    </row>
    <row r="46" spans="2:28" x14ac:dyDescent="0.35">
      <c r="B46" s="22" t="s">
        <v>75</v>
      </c>
      <c r="C46" s="22"/>
      <c r="D46" s="70"/>
      <c r="E46" s="70"/>
      <c r="F46" s="70"/>
      <c r="G46" s="36">
        <f>G42+G43-G44-G45</f>
        <v>0.32841599999999999</v>
      </c>
      <c r="H46" s="36">
        <f t="shared" ref="H46:O46" si="45">H42+H43-H44-H45</f>
        <v>0.44393085440000002</v>
      </c>
      <c r="I46" s="36">
        <f t="shared" si="45"/>
        <v>0.45090812676095993</v>
      </c>
      <c r="J46" s="36">
        <f t="shared" si="45"/>
        <v>0.2290609538987376</v>
      </c>
      <c r="K46" s="36">
        <f t="shared" si="45"/>
        <v>8.4386055416294931E-2</v>
      </c>
      <c r="L46" s="36">
        <f t="shared" si="45"/>
        <v>0.35950382281536308</v>
      </c>
      <c r="M46" s="36">
        <f t="shared" si="45"/>
        <v>0.45538360832517971</v>
      </c>
      <c r="N46" s="36">
        <f t="shared" si="45"/>
        <v>0.45512732130699618</v>
      </c>
      <c r="O46" s="36">
        <f t="shared" si="45"/>
        <v>0.23061530516949735</v>
      </c>
      <c r="R46" s="22"/>
      <c r="S46" s="22"/>
      <c r="T46" s="69">
        <f>T42+T43-T44-T45</f>
        <v>0.28799999999999998</v>
      </c>
      <c r="U46" s="69">
        <f t="shared" ref="U46:AB46" si="46">U42+U43-U44-U45</f>
        <v>0.45599999999999996</v>
      </c>
      <c r="V46" s="69">
        <f t="shared" si="46"/>
        <v>0.52559999999999985</v>
      </c>
      <c r="W46" s="69">
        <f t="shared" si="46"/>
        <v>0.37055999999999989</v>
      </c>
      <c r="X46" s="69">
        <f t="shared" si="46"/>
        <v>0.22233599999999992</v>
      </c>
      <c r="Y46" s="69">
        <f t="shared" si="46"/>
        <v>0.42140159999999988</v>
      </c>
      <c r="Z46" s="69">
        <f t="shared" si="46"/>
        <v>0.53604095999999979</v>
      </c>
      <c r="AA46" s="69">
        <f t="shared" si="46"/>
        <v>0.57362457599999983</v>
      </c>
      <c r="AB46" s="69">
        <f t="shared" si="46"/>
        <v>0.39937474559999986</v>
      </c>
    </row>
    <row r="47" spans="2:28" x14ac:dyDescent="0.35">
      <c r="B47" s="4"/>
      <c r="C47" s="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2:28" x14ac:dyDescent="0.35">
      <c r="B48" s="4"/>
      <c r="C48" s="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2:28" x14ac:dyDescent="0.35">
      <c r="B49" s="26" t="s">
        <v>71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x14ac:dyDescent="0.35">
      <c r="B50" s="1" t="s">
        <v>170</v>
      </c>
      <c r="C50" s="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2:28" x14ac:dyDescent="0.35">
      <c r="B51" t="s">
        <v>74</v>
      </c>
      <c r="D51" s="29"/>
      <c r="E51" s="3">
        <f>D55</f>
        <v>0.61508430000000003</v>
      </c>
      <c r="F51" s="29">
        <f>E55</f>
        <v>0.38578770000000001</v>
      </c>
      <c r="G51" s="29">
        <f t="shared" ref="G51:O51" si="47">F55</f>
        <v>9.6027877842500011</v>
      </c>
      <c r="H51" s="29">
        <f t="shared" si="47"/>
        <v>8.6905229447462506</v>
      </c>
      <c r="I51" s="29">
        <f t="shared" si="47"/>
        <v>7.8649232649953564</v>
      </c>
      <c r="J51" s="29">
        <f t="shared" si="47"/>
        <v>7.117755554820798</v>
      </c>
      <c r="K51" s="29">
        <f t="shared" si="47"/>
        <v>6.4415687771128223</v>
      </c>
      <c r="L51" s="29">
        <f t="shared" si="47"/>
        <v>5.829619743287104</v>
      </c>
      <c r="M51" s="29">
        <f t="shared" si="47"/>
        <v>5.275805867674829</v>
      </c>
      <c r="N51" s="29">
        <f t="shared" si="47"/>
        <v>4.7746043102457199</v>
      </c>
      <c r="O51" s="29">
        <f t="shared" si="47"/>
        <v>4.321016900772376</v>
      </c>
      <c r="R51" s="3">
        <f>E51</f>
        <v>0.61508430000000003</v>
      </c>
      <c r="S51" s="20">
        <f>R55</f>
        <v>0.394330085</v>
      </c>
      <c r="T51" s="20">
        <f>S55</f>
        <v>8.8688970765000015</v>
      </c>
      <c r="U51" s="20">
        <f t="shared" ref="U51:AB51" si="48">T55</f>
        <v>7.9820073688500015</v>
      </c>
      <c r="V51" s="20">
        <f t="shared" si="48"/>
        <v>7.1838066319650018</v>
      </c>
      <c r="W51" s="20">
        <f t="shared" si="48"/>
        <v>6.4654259687685016</v>
      </c>
      <c r="X51" s="20">
        <f t="shared" si="48"/>
        <v>5.8188833718916513</v>
      </c>
      <c r="Y51" s="20">
        <f t="shared" si="48"/>
        <v>5.2369950347024865</v>
      </c>
      <c r="Z51" s="20">
        <f t="shared" si="48"/>
        <v>4.7132955312322382</v>
      </c>
      <c r="AA51" s="20">
        <f t="shared" si="48"/>
        <v>4.2419659781090147</v>
      </c>
      <c r="AB51" s="20">
        <f t="shared" si="48"/>
        <v>3.8177693802981132</v>
      </c>
    </row>
    <row r="52" spans="2:28" x14ac:dyDescent="0.35">
      <c r="B52" t="s">
        <v>178</v>
      </c>
      <c r="D52" s="29"/>
      <c r="E52" s="29"/>
      <c r="F52" s="29">
        <f>9.46</f>
        <v>9.4600000000000009</v>
      </c>
      <c r="G52" s="29"/>
      <c r="H52" s="29"/>
      <c r="I52" s="29"/>
      <c r="J52" s="29"/>
      <c r="K52" s="29"/>
      <c r="L52" s="29"/>
      <c r="M52" s="29"/>
      <c r="N52" s="29"/>
      <c r="O52" s="29"/>
      <c r="R52" s="85">
        <f>E52</f>
        <v>0</v>
      </c>
      <c r="S52" s="85">
        <f t="shared" ref="S52:AB52" si="49">F52</f>
        <v>9.4600000000000009</v>
      </c>
      <c r="T52" s="85">
        <f t="shared" si="49"/>
        <v>0</v>
      </c>
      <c r="U52" s="85">
        <f t="shared" si="49"/>
        <v>0</v>
      </c>
      <c r="V52" s="85">
        <f t="shared" si="49"/>
        <v>0</v>
      </c>
      <c r="W52" s="85">
        <f t="shared" si="49"/>
        <v>0</v>
      </c>
      <c r="X52" s="85">
        <f t="shared" si="49"/>
        <v>0</v>
      </c>
      <c r="Y52" s="85">
        <f t="shared" si="49"/>
        <v>0</v>
      </c>
      <c r="Z52" s="85">
        <f t="shared" si="49"/>
        <v>0</v>
      </c>
      <c r="AA52" s="85">
        <f t="shared" si="49"/>
        <v>0</v>
      </c>
      <c r="AB52" s="85">
        <f t="shared" si="49"/>
        <v>0</v>
      </c>
    </row>
    <row r="53" spans="2:28" x14ac:dyDescent="0.35">
      <c r="B53" t="s">
        <v>179</v>
      </c>
      <c r="D53" s="29"/>
      <c r="E53" s="29">
        <f>2000000/10^7</f>
        <v>0.2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R53" s="85">
        <f>E53</f>
        <v>0.2</v>
      </c>
      <c r="S53" s="85">
        <f t="shared" ref="S53" si="50">F53</f>
        <v>0</v>
      </c>
      <c r="T53" s="85">
        <f t="shared" ref="T53" si="51">G53</f>
        <v>0</v>
      </c>
      <c r="U53" s="85">
        <f t="shared" ref="U53" si="52">H53</f>
        <v>0</v>
      </c>
      <c r="V53" s="85">
        <f t="shared" ref="V53" si="53">I53</f>
        <v>0</v>
      </c>
      <c r="W53" s="85">
        <f t="shared" ref="W53" si="54">J53</f>
        <v>0</v>
      </c>
      <c r="X53" s="85">
        <f t="shared" ref="X53" si="55">K53</f>
        <v>0</v>
      </c>
      <c r="Y53" s="85">
        <f t="shared" ref="Y53" si="56">L53</f>
        <v>0</v>
      </c>
      <c r="Z53" s="85">
        <f t="shared" ref="Z53" si="57">M53</f>
        <v>0</v>
      </c>
      <c r="AA53" s="85">
        <f t="shared" ref="AA53" si="58">N53</f>
        <v>0</v>
      </c>
      <c r="AB53" s="85">
        <f t="shared" ref="AB53" si="59">O53</f>
        <v>0</v>
      </c>
    </row>
    <row r="54" spans="2:28" x14ac:dyDescent="0.35">
      <c r="B54" t="s">
        <v>9</v>
      </c>
      <c r="C54" s="21">
        <v>9.5000000000000001E-2</v>
      </c>
      <c r="D54" s="29"/>
      <c r="E54" s="29">
        <f>292966/10^7</f>
        <v>2.9296599999999999E-2</v>
      </c>
      <c r="F54" s="29">
        <f>F51*$C$54*6/12+((F52-F53)*$C$54*3/12)</f>
        <v>0.24299991575000005</v>
      </c>
      <c r="G54" s="29">
        <f>G51*$C$54+((G52-G53)*$C$54*6/12)</f>
        <v>0.91226483950375015</v>
      </c>
      <c r="H54" s="29">
        <f t="shared" ref="H54:O54" si="60">H51*$C$54+((H52-H53)*$C$54*6/12)</f>
        <v>0.82559967975089377</v>
      </c>
      <c r="I54" s="29">
        <f t="shared" si="60"/>
        <v>0.74716771017455885</v>
      </c>
      <c r="J54" s="29">
        <f t="shared" si="60"/>
        <v>0.67618677770797586</v>
      </c>
      <c r="K54" s="29">
        <f t="shared" si="60"/>
        <v>0.61194903382571808</v>
      </c>
      <c r="L54" s="29">
        <f t="shared" si="60"/>
        <v>0.55381387561227491</v>
      </c>
      <c r="M54" s="29">
        <f t="shared" si="60"/>
        <v>0.50120155742910877</v>
      </c>
      <c r="N54" s="29">
        <f t="shared" si="60"/>
        <v>0.45358740947334342</v>
      </c>
      <c r="O54" s="29">
        <f t="shared" si="60"/>
        <v>0.41049660557337575</v>
      </c>
      <c r="Q54" s="24">
        <v>0.1</v>
      </c>
      <c r="R54" s="20">
        <f>(R51+R52-R53)*$Q$54/2</f>
        <v>2.0754215000000003E-2</v>
      </c>
      <c r="S54" s="20">
        <f>(S51+S52-S53)*$Q$54</f>
        <v>0.98543300850000015</v>
      </c>
      <c r="T54" s="20">
        <f t="shared" ref="T54:AB54" si="61">(T51+T52-T53)*$Q$54</f>
        <v>0.88688970765000019</v>
      </c>
      <c r="U54" s="20">
        <f t="shared" si="61"/>
        <v>0.79820073688500015</v>
      </c>
      <c r="V54" s="20">
        <f t="shared" si="61"/>
        <v>0.71838066319650018</v>
      </c>
      <c r="W54" s="20">
        <f t="shared" si="61"/>
        <v>0.64654259687685023</v>
      </c>
      <c r="X54" s="20">
        <f t="shared" si="61"/>
        <v>0.58188833718916511</v>
      </c>
      <c r="Y54" s="20">
        <f t="shared" si="61"/>
        <v>0.52369950347024863</v>
      </c>
      <c r="Z54" s="20">
        <f t="shared" si="61"/>
        <v>0.47132955312322383</v>
      </c>
      <c r="AA54" s="20">
        <f t="shared" si="61"/>
        <v>0.42419659781090147</v>
      </c>
      <c r="AB54" s="20">
        <f t="shared" si="61"/>
        <v>0.38177693802981133</v>
      </c>
    </row>
    <row r="55" spans="2:28" x14ac:dyDescent="0.35">
      <c r="B55" s="22" t="s">
        <v>75</v>
      </c>
      <c r="C55" s="22"/>
      <c r="D55" s="70">
        <f>6150843/10^7</f>
        <v>0.61508430000000003</v>
      </c>
      <c r="E55" s="70">
        <f>E51+E52-E53-E54</f>
        <v>0.38578770000000001</v>
      </c>
      <c r="F55" s="70">
        <f>F51+F52-F53-F54</f>
        <v>9.6027877842500011</v>
      </c>
      <c r="G55" s="70">
        <f t="shared" ref="G55:O55" si="62">G51+G52-G53-G54</f>
        <v>8.6905229447462506</v>
      </c>
      <c r="H55" s="70">
        <f t="shared" si="62"/>
        <v>7.8649232649953564</v>
      </c>
      <c r="I55" s="70">
        <f t="shared" si="62"/>
        <v>7.117755554820798</v>
      </c>
      <c r="J55" s="70">
        <f t="shared" si="62"/>
        <v>6.4415687771128223</v>
      </c>
      <c r="K55" s="70">
        <f t="shared" si="62"/>
        <v>5.829619743287104</v>
      </c>
      <c r="L55" s="70">
        <f t="shared" si="62"/>
        <v>5.275805867674829</v>
      </c>
      <c r="M55" s="70">
        <f t="shared" si="62"/>
        <v>4.7746043102457199</v>
      </c>
      <c r="N55" s="70">
        <f t="shared" si="62"/>
        <v>4.321016900772376</v>
      </c>
      <c r="O55" s="70">
        <f t="shared" si="62"/>
        <v>3.9105202951990004</v>
      </c>
      <c r="R55" s="36">
        <f>R51+R52-R53-R54</f>
        <v>0.394330085</v>
      </c>
      <c r="S55" s="36">
        <f>S51+S52-S53-S54</f>
        <v>8.8688970765000015</v>
      </c>
      <c r="T55" s="36">
        <f t="shared" ref="T55:AB55" si="63">T51+T52-T53-T54</f>
        <v>7.9820073688500015</v>
      </c>
      <c r="U55" s="36">
        <f t="shared" si="63"/>
        <v>7.1838066319650018</v>
      </c>
      <c r="V55" s="36">
        <f t="shared" si="63"/>
        <v>6.4654259687685016</v>
      </c>
      <c r="W55" s="36">
        <f t="shared" si="63"/>
        <v>5.8188833718916513</v>
      </c>
      <c r="X55" s="36">
        <f t="shared" si="63"/>
        <v>5.2369950347024865</v>
      </c>
      <c r="Y55" s="36">
        <f t="shared" si="63"/>
        <v>4.7132955312322382</v>
      </c>
      <c r="Z55" s="36">
        <f t="shared" si="63"/>
        <v>4.2419659781090147</v>
      </c>
      <c r="AA55" s="36">
        <f t="shared" si="63"/>
        <v>3.8177693802981132</v>
      </c>
      <c r="AB55" s="36">
        <f t="shared" si="63"/>
        <v>3.4359924422683017</v>
      </c>
    </row>
    <row r="56" spans="2:28" x14ac:dyDescent="0.35"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2:28" x14ac:dyDescent="0.35">
      <c r="B57" s="1" t="s">
        <v>181</v>
      </c>
      <c r="C57" s="1"/>
      <c r="D57" s="29"/>
      <c r="E57" s="29"/>
      <c r="F57" s="201"/>
      <c r="G57" s="29"/>
      <c r="H57" s="29"/>
      <c r="I57" s="29"/>
      <c r="J57" s="29"/>
      <c r="K57" s="29"/>
      <c r="L57" s="29"/>
      <c r="M57" s="29"/>
      <c r="N57" s="29"/>
      <c r="O57" s="29"/>
    </row>
    <row r="58" spans="2:28" x14ac:dyDescent="0.35">
      <c r="B58" t="s">
        <v>74</v>
      </c>
      <c r="D58" s="29"/>
      <c r="E58" s="29">
        <f>D62</f>
        <v>3.26625738009544</v>
      </c>
      <c r="F58" s="201">
        <f>E62</f>
        <v>4.1058619800954403</v>
      </c>
      <c r="G58" s="29">
        <f t="shared" ref="G58:O58" si="64">F62</f>
        <v>4.7123767667812997</v>
      </c>
      <c r="H58" s="29">
        <f t="shared" si="64"/>
        <v>1.7360396008822305</v>
      </c>
      <c r="I58" s="29">
        <f t="shared" si="64"/>
        <v>0.63955698896501367</v>
      </c>
      <c r="J58" s="29">
        <f t="shared" si="64"/>
        <v>0.23561279473471103</v>
      </c>
      <c r="K58" s="29">
        <f t="shared" si="64"/>
        <v>8.6799753580267536E-2</v>
      </c>
      <c r="L58" s="29">
        <f t="shared" si="64"/>
        <v>3.1977029218970554E-2</v>
      </c>
      <c r="M58" s="29">
        <f t="shared" si="64"/>
        <v>1.1780337564268752E-2</v>
      </c>
      <c r="N58" s="29">
        <f t="shared" si="64"/>
        <v>4.3398763586766078E-3</v>
      </c>
      <c r="O58" s="29">
        <f t="shared" si="64"/>
        <v>1.5988104505364623E-3</v>
      </c>
      <c r="R58" s="3">
        <f>32662573.8009544/10^7</f>
        <v>3.26625738009544</v>
      </c>
      <c r="S58" s="20">
        <f>R62</f>
        <v>3.9045339040763523</v>
      </c>
      <c r="T58" s="20">
        <f>S62</f>
        <v>3.698720342445811</v>
      </c>
      <c r="U58" s="20">
        <f t="shared" ref="U58:AB58" si="65">T62</f>
        <v>2.2192322054674865</v>
      </c>
      <c r="V58" s="20">
        <f t="shared" si="65"/>
        <v>1.331539323280492</v>
      </c>
      <c r="W58" s="20">
        <f t="shared" si="65"/>
        <v>0.79892359396829515</v>
      </c>
      <c r="X58" s="20">
        <f t="shared" si="65"/>
        <v>0.47935415638097706</v>
      </c>
      <c r="Y58" s="20">
        <f t="shared" si="65"/>
        <v>0.28761249382858622</v>
      </c>
      <c r="Z58" s="20">
        <f t="shared" si="65"/>
        <v>0.17256749629715173</v>
      </c>
      <c r="AA58" s="20">
        <f t="shared" si="65"/>
        <v>0.10354049777829104</v>
      </c>
      <c r="AB58" s="20">
        <f t="shared" si="65"/>
        <v>6.2124298666974623E-2</v>
      </c>
    </row>
    <row r="59" spans="2:28" x14ac:dyDescent="0.35">
      <c r="B59" t="s">
        <v>178</v>
      </c>
      <c r="D59" s="29"/>
      <c r="E59" s="29">
        <f>16144100/10^7</f>
        <v>1.6144099999999999</v>
      </c>
      <c r="F59" s="201">
        <v>2.2599999999999998</v>
      </c>
      <c r="G59" s="29"/>
      <c r="H59" s="29"/>
      <c r="I59" s="29"/>
      <c r="J59" s="29"/>
      <c r="K59" s="29"/>
      <c r="L59" s="29"/>
      <c r="M59" s="29"/>
      <c r="N59" s="29"/>
      <c r="O59" s="29"/>
      <c r="R59" s="85">
        <f t="shared" ref="R59:AB59" si="66">E59</f>
        <v>1.6144099999999999</v>
      </c>
      <c r="S59" s="85">
        <f t="shared" si="66"/>
        <v>2.2599999999999998</v>
      </c>
      <c r="T59" s="85">
        <f t="shared" si="66"/>
        <v>0</v>
      </c>
      <c r="U59" s="85">
        <f t="shared" si="66"/>
        <v>0</v>
      </c>
      <c r="V59" s="85">
        <f t="shared" si="66"/>
        <v>0</v>
      </c>
      <c r="W59" s="85">
        <f t="shared" si="66"/>
        <v>0</v>
      </c>
      <c r="X59" s="85">
        <f t="shared" si="66"/>
        <v>0</v>
      </c>
      <c r="Y59" s="85">
        <f t="shared" si="66"/>
        <v>0</v>
      </c>
      <c r="Z59" s="85">
        <f t="shared" si="66"/>
        <v>0</v>
      </c>
      <c r="AA59" s="85">
        <f t="shared" si="66"/>
        <v>0</v>
      </c>
      <c r="AB59" s="85">
        <f t="shared" si="66"/>
        <v>0</v>
      </c>
    </row>
    <row r="60" spans="2:28" x14ac:dyDescent="0.35">
      <c r="B60" t="s">
        <v>179</v>
      </c>
      <c r="D60" s="29"/>
      <c r="E60" s="29"/>
      <c r="F60" s="201"/>
      <c r="G60" s="29"/>
      <c r="H60" s="29"/>
      <c r="I60" s="29"/>
      <c r="J60" s="29"/>
      <c r="K60" s="29"/>
      <c r="L60" s="29"/>
      <c r="M60" s="29"/>
      <c r="N60" s="29"/>
      <c r="O60" s="29"/>
    </row>
    <row r="61" spans="2:28" x14ac:dyDescent="0.35">
      <c r="B61" t="s">
        <v>9</v>
      </c>
      <c r="C61" s="21">
        <v>0.63160000000000005</v>
      </c>
      <c r="D61" s="29"/>
      <c r="E61" s="29">
        <f>7748054/10^7</f>
        <v>0.77480539999999998</v>
      </c>
      <c r="F61" s="201">
        <f>F58*$C$61*6/12+((F59-F60)*$C$61*3/12)</f>
        <v>1.6534852133141402</v>
      </c>
      <c r="G61" s="29">
        <f>G58*$C$61+((G59-G60)*$C$61*6/12)</f>
        <v>2.9763371658990692</v>
      </c>
      <c r="H61" s="29">
        <f t="shared" ref="H61:O61" si="67">H58*$C$61+((H59-H60)*$C$61*6/12)</f>
        <v>1.0964826119172169</v>
      </c>
      <c r="I61" s="29">
        <f t="shared" si="67"/>
        <v>0.40394419423030264</v>
      </c>
      <c r="J61" s="29">
        <f t="shared" si="67"/>
        <v>0.14881304115444349</v>
      </c>
      <c r="K61" s="29">
        <f t="shared" si="67"/>
        <v>5.4822724361296982E-2</v>
      </c>
      <c r="L61" s="29">
        <f t="shared" si="67"/>
        <v>2.0196691654701802E-2</v>
      </c>
      <c r="M61" s="29">
        <f t="shared" si="67"/>
        <v>7.4404612055921438E-3</v>
      </c>
      <c r="N61" s="29">
        <f t="shared" si="67"/>
        <v>2.7410659081401455E-3</v>
      </c>
      <c r="O61" s="29">
        <f t="shared" si="67"/>
        <v>1.0098086805588296E-3</v>
      </c>
      <c r="P61" s="9"/>
      <c r="Q61" s="24">
        <v>0.4</v>
      </c>
      <c r="R61" s="20">
        <f>(R58+R59-R60)*$Q$61/2</f>
        <v>0.97613347601908806</v>
      </c>
      <c r="S61" s="20">
        <f>(S58+S59-S60)*$Q$61</f>
        <v>2.465813561630541</v>
      </c>
      <c r="T61" s="20">
        <f t="shared" ref="T61:AB61" si="68">(T58+T59-T60)*$Q$61</f>
        <v>1.4794881369783246</v>
      </c>
      <c r="U61" s="20">
        <f t="shared" si="68"/>
        <v>0.8876928821869946</v>
      </c>
      <c r="V61" s="20">
        <f t="shared" si="68"/>
        <v>0.53261572931219681</v>
      </c>
      <c r="W61" s="20">
        <f t="shared" si="68"/>
        <v>0.31956943758731809</v>
      </c>
      <c r="X61" s="20">
        <f t="shared" si="68"/>
        <v>0.19174166255239083</v>
      </c>
      <c r="Y61" s="20">
        <f t="shared" si="68"/>
        <v>0.11504499753143449</v>
      </c>
      <c r="Z61" s="20">
        <f t="shared" si="68"/>
        <v>6.9026998518860697E-2</v>
      </c>
      <c r="AA61" s="20">
        <f t="shared" si="68"/>
        <v>4.1416199111316415E-2</v>
      </c>
      <c r="AB61" s="20">
        <f t="shared" si="68"/>
        <v>2.4849719466789849E-2</v>
      </c>
    </row>
    <row r="62" spans="2:28" x14ac:dyDescent="0.35">
      <c r="B62" s="22" t="s">
        <v>75</v>
      </c>
      <c r="C62" s="22"/>
      <c r="D62" s="70">
        <f>32662573.8009544/10^7</f>
        <v>3.26625738009544</v>
      </c>
      <c r="E62" s="70">
        <f>E58+E59-E60-E61</f>
        <v>4.1058619800954403</v>
      </c>
      <c r="F62" s="202">
        <f t="shared" ref="F62:O62" si="69">F58+F59-F60-F61</f>
        <v>4.7123767667812997</v>
      </c>
      <c r="G62" s="70">
        <f t="shared" si="69"/>
        <v>1.7360396008822305</v>
      </c>
      <c r="H62" s="70">
        <f t="shared" si="69"/>
        <v>0.63955698896501367</v>
      </c>
      <c r="I62" s="70">
        <f t="shared" si="69"/>
        <v>0.23561279473471103</v>
      </c>
      <c r="J62" s="70">
        <f t="shared" si="69"/>
        <v>8.6799753580267536E-2</v>
      </c>
      <c r="K62" s="70">
        <f t="shared" si="69"/>
        <v>3.1977029218970554E-2</v>
      </c>
      <c r="L62" s="70">
        <f t="shared" si="69"/>
        <v>1.1780337564268752E-2</v>
      </c>
      <c r="M62" s="70">
        <f t="shared" si="69"/>
        <v>4.3398763586766078E-3</v>
      </c>
      <c r="N62" s="70">
        <f t="shared" si="69"/>
        <v>1.5988104505364623E-3</v>
      </c>
      <c r="O62" s="70">
        <f t="shared" si="69"/>
        <v>5.8900176997763267E-4</v>
      </c>
      <c r="R62" s="36">
        <f>R58+R59-R60-R61</f>
        <v>3.9045339040763523</v>
      </c>
      <c r="S62" s="36">
        <f>S58+S59-S60-S61</f>
        <v>3.698720342445811</v>
      </c>
      <c r="T62" s="36">
        <f t="shared" ref="T62:AB62" si="70">T58+T59-T60-T61</f>
        <v>2.2192322054674865</v>
      </c>
      <c r="U62" s="36">
        <f t="shared" si="70"/>
        <v>1.331539323280492</v>
      </c>
      <c r="V62" s="36">
        <f t="shared" si="70"/>
        <v>0.79892359396829515</v>
      </c>
      <c r="W62" s="36">
        <f t="shared" si="70"/>
        <v>0.47935415638097706</v>
      </c>
      <c r="X62" s="36">
        <f t="shared" si="70"/>
        <v>0.28761249382858622</v>
      </c>
      <c r="Y62" s="36">
        <f t="shared" si="70"/>
        <v>0.17256749629715173</v>
      </c>
      <c r="Z62" s="36">
        <f t="shared" si="70"/>
        <v>0.10354049777829104</v>
      </c>
      <c r="AA62" s="36">
        <f t="shared" si="70"/>
        <v>6.2124298666974623E-2</v>
      </c>
      <c r="AB62" s="36">
        <f t="shared" si="70"/>
        <v>3.7274579200184774E-2</v>
      </c>
    </row>
    <row r="63" spans="2:28" x14ac:dyDescent="0.35">
      <c r="D63" s="29"/>
      <c r="E63" s="29"/>
      <c r="F63" s="201"/>
      <c r="G63" s="29"/>
      <c r="H63" s="29"/>
      <c r="I63" s="29"/>
      <c r="J63" s="29"/>
      <c r="K63" s="29"/>
      <c r="L63" s="29"/>
      <c r="M63" s="29"/>
      <c r="N63" s="29"/>
      <c r="O63" s="29"/>
    </row>
    <row r="64" spans="2:28" x14ac:dyDescent="0.35">
      <c r="B64" s="1" t="s">
        <v>171</v>
      </c>
      <c r="D64" s="29"/>
      <c r="E64" s="29"/>
      <c r="F64" s="201"/>
      <c r="G64" s="29"/>
      <c r="H64" s="29"/>
      <c r="I64" s="29"/>
      <c r="J64" s="29"/>
      <c r="K64" s="29"/>
      <c r="L64" s="29"/>
      <c r="M64" s="29"/>
      <c r="N64" s="29"/>
      <c r="O64" s="29"/>
    </row>
    <row r="65" spans="2:28" x14ac:dyDescent="0.35">
      <c r="B65" t="s">
        <v>74</v>
      </c>
      <c r="D65" s="29"/>
      <c r="E65" s="29">
        <f>D69</f>
        <v>6.0510533249999998</v>
      </c>
      <c r="F65" s="201">
        <f>E69</f>
        <v>5.3765357250000001</v>
      </c>
      <c r="G65" s="29">
        <f>F69</f>
        <v>8.4684069253987513</v>
      </c>
      <c r="H65" s="29">
        <f t="shared" ref="H65:O65" si="71">G69</f>
        <v>6.2759363724130139</v>
      </c>
      <c r="I65" s="29">
        <f t="shared" si="71"/>
        <v>4.6510964455952841</v>
      </c>
      <c r="J65" s="29">
        <f t="shared" si="71"/>
        <v>3.446927575830665</v>
      </c>
      <c r="K65" s="29">
        <f t="shared" si="71"/>
        <v>2.5545180264481058</v>
      </c>
      <c r="L65" s="29">
        <f t="shared" si="71"/>
        <v>1.8931533094006912</v>
      </c>
      <c r="M65" s="29">
        <f t="shared" si="71"/>
        <v>1.4030159175968522</v>
      </c>
      <c r="N65" s="29">
        <f t="shared" si="71"/>
        <v>1.0397750965310271</v>
      </c>
      <c r="O65" s="29">
        <f t="shared" si="71"/>
        <v>0.77057732403914414</v>
      </c>
      <c r="P65" s="3"/>
      <c r="Q65" s="3"/>
      <c r="R65" s="3">
        <f>60510533.25/10^7</f>
        <v>6.0510533249999998</v>
      </c>
      <c r="S65" s="20">
        <f>R69</f>
        <v>5.702474525625</v>
      </c>
      <c r="T65" s="20">
        <f t="shared" ref="T65:AB65" si="72">S69</f>
        <v>8.2896033467812504</v>
      </c>
      <c r="U65" s="20">
        <f t="shared" si="72"/>
        <v>7.046162844764063</v>
      </c>
      <c r="V65" s="20">
        <f t="shared" si="72"/>
        <v>5.9892384180494531</v>
      </c>
      <c r="W65" s="20">
        <f t="shared" si="72"/>
        <v>5.0908526553420348</v>
      </c>
      <c r="X65" s="20">
        <f t="shared" si="72"/>
        <v>4.3272247570407298</v>
      </c>
      <c r="Y65" s="20">
        <f t="shared" si="72"/>
        <v>3.6781410434846205</v>
      </c>
      <c r="Z65" s="20">
        <f t="shared" si="72"/>
        <v>3.1264198869619273</v>
      </c>
      <c r="AA65" s="20">
        <f t="shared" si="72"/>
        <v>2.6574569039176383</v>
      </c>
      <c r="AB65" s="20">
        <f t="shared" si="72"/>
        <v>2.2588383683299926</v>
      </c>
    </row>
    <row r="66" spans="2:28" x14ac:dyDescent="0.35">
      <c r="B66" t="s">
        <v>178</v>
      </c>
      <c r="D66" s="29"/>
      <c r="E66" s="29">
        <f>1137840/10^7</f>
        <v>0.113784</v>
      </c>
      <c r="F66" s="201">
        <v>4.05</v>
      </c>
      <c r="G66" s="29"/>
      <c r="H66" s="29"/>
      <c r="I66" s="29"/>
      <c r="J66" s="29"/>
      <c r="K66" s="29"/>
      <c r="L66" s="29"/>
      <c r="M66" s="29"/>
      <c r="N66" s="29"/>
      <c r="O66" s="29"/>
      <c r="P66" s="3"/>
      <c r="Q66" s="3"/>
      <c r="R66" s="85">
        <f t="shared" ref="R66:AB66" si="73">E66</f>
        <v>0.113784</v>
      </c>
      <c r="S66" s="85">
        <f t="shared" si="73"/>
        <v>4.05</v>
      </c>
      <c r="T66" s="85">
        <f t="shared" si="73"/>
        <v>0</v>
      </c>
      <c r="U66" s="85">
        <f t="shared" si="73"/>
        <v>0</v>
      </c>
      <c r="V66" s="85">
        <f t="shared" si="73"/>
        <v>0</v>
      </c>
      <c r="W66" s="85">
        <f t="shared" si="73"/>
        <v>0</v>
      </c>
      <c r="X66" s="85">
        <f t="shared" si="73"/>
        <v>0</v>
      </c>
      <c r="Y66" s="85">
        <f t="shared" si="73"/>
        <v>0</v>
      </c>
      <c r="Z66" s="85">
        <f t="shared" si="73"/>
        <v>0</v>
      </c>
      <c r="AA66" s="85">
        <f t="shared" si="73"/>
        <v>0</v>
      </c>
      <c r="AB66" s="85">
        <f t="shared" si="73"/>
        <v>0</v>
      </c>
    </row>
    <row r="67" spans="2:28" x14ac:dyDescent="0.35">
      <c r="B67" t="s">
        <v>179</v>
      </c>
      <c r="D67" s="29"/>
      <c r="E67" s="29"/>
      <c r="F67" s="201"/>
      <c r="G67" s="29"/>
      <c r="H67" s="29"/>
      <c r="I67" s="29"/>
      <c r="J67" s="29"/>
      <c r="K67" s="29"/>
      <c r="L67" s="29"/>
      <c r="M67" s="29"/>
      <c r="N67" s="29"/>
      <c r="O67" s="29"/>
      <c r="P67" s="3"/>
      <c r="Q67" s="3"/>
    </row>
    <row r="68" spans="2:28" x14ac:dyDescent="0.35">
      <c r="B68" t="s">
        <v>9</v>
      </c>
      <c r="C68" s="21">
        <v>0.25890000000000002</v>
      </c>
      <c r="D68" s="29"/>
      <c r="E68" s="29">
        <f>7883016/10^7</f>
        <v>0.78830160000000005</v>
      </c>
      <c r="F68" s="201">
        <f>F65*$C$68*6/12+((F66-F67)*$C$68*3/12)</f>
        <v>0.95812879960124997</v>
      </c>
      <c r="G68" s="29">
        <f>G65*$C$68+((G66-G67)*$C$68*6/12)</f>
        <v>2.1924705529857369</v>
      </c>
      <c r="H68" s="29">
        <f t="shared" ref="H68:O68" si="74">H65*$C$68+((H66-H67)*$C$68*6/12)</f>
        <v>1.6248399268177294</v>
      </c>
      <c r="I68" s="29">
        <f t="shared" si="74"/>
        <v>1.2041688697646191</v>
      </c>
      <c r="J68" s="29">
        <f t="shared" si="74"/>
        <v>0.89240954938255923</v>
      </c>
      <c r="K68" s="29">
        <f t="shared" si="74"/>
        <v>0.66136471704741462</v>
      </c>
      <c r="L68" s="29">
        <f t="shared" si="74"/>
        <v>0.49013739180383897</v>
      </c>
      <c r="M68" s="29">
        <f t="shared" si="74"/>
        <v>0.36324082106582506</v>
      </c>
      <c r="N68" s="29">
        <f t="shared" si="74"/>
        <v>0.26919777249188293</v>
      </c>
      <c r="O68" s="29">
        <f t="shared" si="74"/>
        <v>0.19950246919373443</v>
      </c>
      <c r="P68" s="3"/>
      <c r="Q68" s="23">
        <v>0.15</v>
      </c>
      <c r="R68" s="20">
        <f>(R65+R66-R67)*$Q$68/2</f>
        <v>0.46236279937499997</v>
      </c>
      <c r="S68" s="20">
        <f>(S65+S66-S67)*$Q$68</f>
        <v>1.4628711788437501</v>
      </c>
      <c r="T68" s="20">
        <f>(T65+T66-T67)*$Q$68</f>
        <v>1.2434405020171875</v>
      </c>
      <c r="U68" s="20">
        <f t="shared" ref="U68:AB68" si="75">(U65+U66-U67)*$Q$68</f>
        <v>1.0569244267146094</v>
      </c>
      <c r="V68" s="20">
        <f t="shared" si="75"/>
        <v>0.89838576270741799</v>
      </c>
      <c r="W68" s="20">
        <f t="shared" si="75"/>
        <v>0.76362789830130517</v>
      </c>
      <c r="X68" s="20">
        <f t="shared" si="75"/>
        <v>0.6490837135561095</v>
      </c>
      <c r="Y68" s="20">
        <f t="shared" si="75"/>
        <v>0.55172115652269305</v>
      </c>
      <c r="Z68" s="20">
        <f t="shared" si="75"/>
        <v>0.46896298304428907</v>
      </c>
      <c r="AA68" s="20">
        <f t="shared" si="75"/>
        <v>0.39861853558764576</v>
      </c>
      <c r="AB68" s="20">
        <f t="shared" si="75"/>
        <v>0.33882575524949887</v>
      </c>
    </row>
    <row r="69" spans="2:28" x14ac:dyDescent="0.35">
      <c r="B69" s="22" t="s">
        <v>75</v>
      </c>
      <c r="C69" s="22"/>
      <c r="D69" s="70">
        <f>60510533.25/10^7</f>
        <v>6.0510533249999998</v>
      </c>
      <c r="E69" s="70">
        <f>E65+E66-E67-E68</f>
        <v>5.3765357250000001</v>
      </c>
      <c r="F69" s="202">
        <f>F65+F66-F67-F68</f>
        <v>8.4684069253987513</v>
      </c>
      <c r="G69" s="70">
        <f>G65+G66-G67-G68</f>
        <v>6.2759363724130139</v>
      </c>
      <c r="H69" s="70">
        <f t="shared" ref="H69:O69" si="76">H65+H66-H67-H68</f>
        <v>4.6510964455952841</v>
      </c>
      <c r="I69" s="70">
        <f t="shared" si="76"/>
        <v>3.446927575830665</v>
      </c>
      <c r="J69" s="70">
        <f t="shared" si="76"/>
        <v>2.5545180264481058</v>
      </c>
      <c r="K69" s="70">
        <f t="shared" si="76"/>
        <v>1.8931533094006912</v>
      </c>
      <c r="L69" s="70">
        <f t="shared" si="76"/>
        <v>1.4030159175968522</v>
      </c>
      <c r="M69" s="70">
        <f t="shared" si="76"/>
        <v>1.0397750965310271</v>
      </c>
      <c r="N69" s="70">
        <f t="shared" si="76"/>
        <v>0.77057732403914414</v>
      </c>
      <c r="O69" s="70">
        <f t="shared" si="76"/>
        <v>0.57107485484540965</v>
      </c>
      <c r="P69" s="3"/>
      <c r="Q69" s="3"/>
      <c r="R69" s="36">
        <f>R65+R66-R67-R68</f>
        <v>5.702474525625</v>
      </c>
      <c r="S69" s="36">
        <f>S65+S66-S67-S68</f>
        <v>8.2896033467812504</v>
      </c>
      <c r="T69" s="36">
        <f t="shared" ref="T69:AB69" si="77">T65+T66-T67-T68</f>
        <v>7.046162844764063</v>
      </c>
      <c r="U69" s="36">
        <f t="shared" si="77"/>
        <v>5.9892384180494531</v>
      </c>
      <c r="V69" s="36">
        <f t="shared" si="77"/>
        <v>5.0908526553420348</v>
      </c>
      <c r="W69" s="36">
        <f t="shared" si="77"/>
        <v>4.3272247570407298</v>
      </c>
      <c r="X69" s="36">
        <f t="shared" si="77"/>
        <v>3.6781410434846205</v>
      </c>
      <c r="Y69" s="36">
        <f t="shared" si="77"/>
        <v>3.1264198869619273</v>
      </c>
      <c r="Z69" s="36">
        <f t="shared" si="77"/>
        <v>2.6574569039176383</v>
      </c>
      <c r="AA69" s="36">
        <f t="shared" si="77"/>
        <v>2.2588383683299926</v>
      </c>
      <c r="AB69" s="36">
        <f t="shared" si="77"/>
        <v>1.9200126130804938</v>
      </c>
    </row>
    <row r="70" spans="2:28" x14ac:dyDescent="0.35">
      <c r="D70" s="29"/>
      <c r="E70" s="29"/>
      <c r="F70" s="201"/>
      <c r="G70" s="29"/>
      <c r="H70" s="29"/>
      <c r="I70" s="29"/>
      <c r="J70" s="29"/>
      <c r="K70" s="29"/>
      <c r="L70" s="29"/>
      <c r="M70" s="29"/>
      <c r="N70" s="29"/>
      <c r="O70" s="29"/>
    </row>
    <row r="71" spans="2:28" x14ac:dyDescent="0.35">
      <c r="B71" s="1" t="s">
        <v>172</v>
      </c>
      <c r="D71" s="29"/>
      <c r="E71" s="29"/>
      <c r="F71" s="201"/>
      <c r="G71" s="29"/>
      <c r="H71" s="29"/>
      <c r="I71" s="29"/>
      <c r="J71" s="29"/>
      <c r="K71" s="29"/>
      <c r="L71" s="29"/>
      <c r="M71" s="29"/>
      <c r="N71" s="29"/>
      <c r="O71" s="29"/>
    </row>
    <row r="72" spans="2:28" x14ac:dyDescent="0.35">
      <c r="B72" t="s">
        <v>74</v>
      </c>
      <c r="D72" s="29"/>
      <c r="E72" s="29">
        <f>D76</f>
        <v>7.3626655999999902E-2</v>
      </c>
      <c r="F72" s="201">
        <f>E76</f>
        <v>7.2785055999999904E-2</v>
      </c>
      <c r="G72" s="29">
        <f>F76</f>
        <v>9.1421280500799909E-2</v>
      </c>
      <c r="H72" s="29">
        <f t="shared" ref="H72:O72" si="78">G76</f>
        <v>6.7752310979142805E-2</v>
      </c>
      <c r="I72" s="29">
        <f t="shared" si="78"/>
        <v>5.0211237666642733E-2</v>
      </c>
      <c r="J72" s="29">
        <f t="shared" si="78"/>
        <v>3.7211548234748926E-2</v>
      </c>
      <c r="K72" s="29">
        <f t="shared" si="78"/>
        <v>2.757747839677243E-2</v>
      </c>
      <c r="L72" s="29">
        <f t="shared" si="78"/>
        <v>2.0437669239848046E-2</v>
      </c>
      <c r="M72" s="29">
        <f t="shared" si="78"/>
        <v>1.5146356673651388E-2</v>
      </c>
      <c r="N72" s="29">
        <f t="shared" si="78"/>
        <v>1.1224964930843042E-2</v>
      </c>
      <c r="O72" s="29">
        <f t="shared" si="78"/>
        <v>8.3188215102477786E-3</v>
      </c>
      <c r="R72" s="3">
        <f>1102879.56/10^7</f>
        <v>0.11028795600000001</v>
      </c>
      <c r="S72" s="20">
        <f>R76</f>
        <v>0.1140835582</v>
      </c>
      <c r="T72" s="20">
        <f t="shared" ref="T72:AB72" si="79">S76</f>
        <v>0.12967520238000002</v>
      </c>
      <c r="U72" s="20">
        <f t="shared" si="79"/>
        <v>0.11670768214200002</v>
      </c>
      <c r="V72" s="20">
        <f t="shared" si="79"/>
        <v>0.10503691392780001</v>
      </c>
      <c r="W72" s="20">
        <f t="shared" si="79"/>
        <v>9.4533222535020014E-2</v>
      </c>
      <c r="X72" s="20">
        <f t="shared" si="79"/>
        <v>8.5079900281518017E-2</v>
      </c>
      <c r="Y72" s="20">
        <f t="shared" si="79"/>
        <v>7.657191025336621E-2</v>
      </c>
      <c r="Z72" s="20">
        <f t="shared" si="79"/>
        <v>6.8914719228029594E-2</v>
      </c>
      <c r="AA72" s="20">
        <f t="shared" si="79"/>
        <v>6.2023247305226632E-2</v>
      </c>
      <c r="AB72" s="20">
        <f t="shared" si="79"/>
        <v>5.5820922574703967E-2</v>
      </c>
    </row>
    <row r="73" spans="2:28" x14ac:dyDescent="0.35">
      <c r="B73" t="s">
        <v>178</v>
      </c>
      <c r="D73" s="29"/>
      <c r="E73" s="29">
        <f>98000/10^7</f>
        <v>9.7999999999999997E-3</v>
      </c>
      <c r="F73" s="201">
        <v>0.03</v>
      </c>
      <c r="G73" s="29"/>
      <c r="H73" s="29"/>
      <c r="I73" s="29"/>
      <c r="J73" s="29"/>
      <c r="K73" s="29"/>
      <c r="L73" s="29"/>
      <c r="M73" s="29"/>
      <c r="N73" s="29"/>
      <c r="O73" s="29"/>
      <c r="R73" s="3">
        <f t="shared" ref="R73:AB73" si="80">E73</f>
        <v>9.7999999999999997E-3</v>
      </c>
      <c r="S73" s="3">
        <f t="shared" si="80"/>
        <v>0.03</v>
      </c>
      <c r="T73" s="3">
        <f t="shared" si="80"/>
        <v>0</v>
      </c>
      <c r="U73" s="85">
        <f t="shared" si="80"/>
        <v>0</v>
      </c>
      <c r="V73" s="85">
        <f t="shared" si="80"/>
        <v>0</v>
      </c>
      <c r="W73" s="85">
        <f t="shared" si="80"/>
        <v>0</v>
      </c>
      <c r="X73" s="85">
        <f t="shared" si="80"/>
        <v>0</v>
      </c>
      <c r="Y73" s="85">
        <f t="shared" si="80"/>
        <v>0</v>
      </c>
      <c r="Z73" s="85">
        <f t="shared" si="80"/>
        <v>0</v>
      </c>
      <c r="AA73" s="85">
        <f t="shared" si="80"/>
        <v>0</v>
      </c>
      <c r="AB73" s="85">
        <f t="shared" si="80"/>
        <v>0</v>
      </c>
    </row>
    <row r="74" spans="2:28" x14ac:dyDescent="0.35">
      <c r="B74" t="s">
        <v>179</v>
      </c>
      <c r="D74" s="29"/>
      <c r="E74" s="29"/>
      <c r="F74" s="201"/>
      <c r="G74" s="29"/>
      <c r="H74" s="29"/>
      <c r="I74" s="29"/>
      <c r="J74" s="29"/>
      <c r="K74" s="29"/>
      <c r="L74" s="29"/>
      <c r="M74" s="29"/>
      <c r="N74" s="29"/>
      <c r="O74" s="29"/>
      <c r="S74" s="20"/>
    </row>
    <row r="75" spans="2:28" x14ac:dyDescent="0.35">
      <c r="B75" t="s">
        <v>9</v>
      </c>
      <c r="C75" s="21">
        <v>0.25890000000000002</v>
      </c>
      <c r="D75" s="29"/>
      <c r="E75" s="29">
        <f>106416/10^7</f>
        <v>1.0641599999999999E-2</v>
      </c>
      <c r="F75" s="201">
        <f>F72*$C$75*6/12+((F73-F74)*$C$75*3/12)</f>
        <v>1.1363775499199988E-2</v>
      </c>
      <c r="G75" s="29">
        <f>G72*$C$75+((G73-G74)*$C$75*6/12)</f>
        <v>2.3668969521657097E-2</v>
      </c>
      <c r="H75" s="29">
        <f t="shared" ref="H75:O75" si="81">H72*$C$75+((H73-H74)*$C$75*6/12)</f>
        <v>1.7541073312500072E-2</v>
      </c>
      <c r="I75" s="29">
        <f t="shared" si="81"/>
        <v>1.2999689431893804E-2</v>
      </c>
      <c r="J75" s="29">
        <f t="shared" si="81"/>
        <v>9.6340698379764975E-3</v>
      </c>
      <c r="K75" s="29">
        <f t="shared" si="81"/>
        <v>7.1398091569243828E-3</v>
      </c>
      <c r="L75" s="29">
        <f t="shared" si="81"/>
        <v>5.2913125661966593E-3</v>
      </c>
      <c r="M75" s="29">
        <f t="shared" si="81"/>
        <v>3.921391742808345E-3</v>
      </c>
      <c r="N75" s="29">
        <f t="shared" si="81"/>
        <v>2.9061434205952638E-3</v>
      </c>
      <c r="O75" s="29">
        <f t="shared" si="81"/>
        <v>2.1537428890031499E-3</v>
      </c>
      <c r="Q75" s="24">
        <v>0.1</v>
      </c>
      <c r="R75" s="20">
        <f>(R72+R73-R74)*$Q$75/2</f>
        <v>6.004397800000001E-3</v>
      </c>
      <c r="S75" s="20">
        <f>(S72+S73-S74)*$Q$75</f>
        <v>1.4408355820000003E-2</v>
      </c>
      <c r="T75" s="20">
        <f t="shared" ref="T75:AB75" si="82">(T72+T73-T74)*$Q$75</f>
        <v>1.2967520238000003E-2</v>
      </c>
      <c r="U75" s="20">
        <f t="shared" si="82"/>
        <v>1.1670768214200003E-2</v>
      </c>
      <c r="V75" s="20">
        <f t="shared" si="82"/>
        <v>1.0503691392780002E-2</v>
      </c>
      <c r="W75" s="20">
        <f t="shared" si="82"/>
        <v>9.4533222535020025E-3</v>
      </c>
      <c r="X75" s="20">
        <f t="shared" si="82"/>
        <v>8.5079900281518021E-3</v>
      </c>
      <c r="Y75" s="20">
        <f t="shared" si="82"/>
        <v>7.6571910253366215E-3</v>
      </c>
      <c r="Z75" s="20">
        <f t="shared" si="82"/>
        <v>6.8914719228029596E-3</v>
      </c>
      <c r="AA75" s="20">
        <f t="shared" si="82"/>
        <v>6.2023247305226636E-3</v>
      </c>
      <c r="AB75" s="20">
        <f t="shared" si="82"/>
        <v>5.5820922574703969E-3</v>
      </c>
    </row>
    <row r="76" spans="2:28" x14ac:dyDescent="0.35">
      <c r="B76" s="22" t="s">
        <v>75</v>
      </c>
      <c r="C76" s="22"/>
      <c r="D76" s="70">
        <f>736266.559999999/10^7</f>
        <v>7.3626655999999902E-2</v>
      </c>
      <c r="E76" s="70">
        <f>E72+E73-E74-E75</f>
        <v>7.2785055999999904E-2</v>
      </c>
      <c r="F76" s="202">
        <f>F72+F73-F74-F75</f>
        <v>9.1421280500799909E-2</v>
      </c>
      <c r="G76" s="70">
        <f>G72+G73-G74-G75</f>
        <v>6.7752310979142805E-2</v>
      </c>
      <c r="H76" s="70">
        <f t="shared" ref="H76:O76" si="83">H72+H73-H74-H75</f>
        <v>5.0211237666642733E-2</v>
      </c>
      <c r="I76" s="70">
        <f t="shared" si="83"/>
        <v>3.7211548234748926E-2</v>
      </c>
      <c r="J76" s="70">
        <f t="shared" si="83"/>
        <v>2.757747839677243E-2</v>
      </c>
      <c r="K76" s="70">
        <f t="shared" si="83"/>
        <v>2.0437669239848046E-2</v>
      </c>
      <c r="L76" s="70">
        <f t="shared" si="83"/>
        <v>1.5146356673651388E-2</v>
      </c>
      <c r="M76" s="70">
        <f t="shared" si="83"/>
        <v>1.1224964930843042E-2</v>
      </c>
      <c r="N76" s="70">
        <f t="shared" si="83"/>
        <v>8.3188215102477786E-3</v>
      </c>
      <c r="O76" s="70">
        <f t="shared" si="83"/>
        <v>6.1650786212446287E-3</v>
      </c>
      <c r="R76" s="36">
        <f>R72+R73-R74-R75</f>
        <v>0.1140835582</v>
      </c>
      <c r="S76" s="36">
        <f>S72+S73-S74-S75</f>
        <v>0.12967520238000002</v>
      </c>
      <c r="T76" s="36">
        <f t="shared" ref="T76:AB76" si="84">T72+T73-T74-T75</f>
        <v>0.11670768214200002</v>
      </c>
      <c r="U76" s="36">
        <f t="shared" si="84"/>
        <v>0.10503691392780001</v>
      </c>
      <c r="V76" s="36">
        <f t="shared" si="84"/>
        <v>9.4533222535020014E-2</v>
      </c>
      <c r="W76" s="36">
        <f t="shared" si="84"/>
        <v>8.5079900281518017E-2</v>
      </c>
      <c r="X76" s="36">
        <f t="shared" si="84"/>
        <v>7.657191025336621E-2</v>
      </c>
      <c r="Y76" s="36">
        <f t="shared" si="84"/>
        <v>6.8914719228029594E-2</v>
      </c>
      <c r="Z76" s="36">
        <f t="shared" si="84"/>
        <v>6.2023247305226632E-2</v>
      </c>
      <c r="AA76" s="36">
        <f t="shared" si="84"/>
        <v>5.5820922574703967E-2</v>
      </c>
      <c r="AB76" s="36">
        <f t="shared" si="84"/>
        <v>5.0238830317233571E-2</v>
      </c>
    </row>
    <row r="77" spans="2:28" x14ac:dyDescent="0.35">
      <c r="D77" s="29"/>
      <c r="E77" s="29"/>
      <c r="F77" s="201"/>
      <c r="G77" s="29"/>
      <c r="H77" s="29"/>
      <c r="I77" s="29"/>
      <c r="J77" s="29"/>
      <c r="K77" s="29"/>
      <c r="L77" s="29"/>
      <c r="M77" s="29"/>
      <c r="N77" s="29"/>
      <c r="O77" s="29"/>
    </row>
    <row r="78" spans="2:28" x14ac:dyDescent="0.35">
      <c r="B78" s="1" t="s">
        <v>173</v>
      </c>
      <c r="D78" s="29"/>
      <c r="E78" s="29"/>
      <c r="F78" s="201"/>
      <c r="G78" s="29"/>
      <c r="H78" s="29"/>
      <c r="I78" s="29"/>
      <c r="J78" s="29"/>
      <c r="K78" s="29"/>
      <c r="L78" s="29"/>
      <c r="M78" s="29"/>
      <c r="N78" s="29"/>
      <c r="O78" s="29"/>
    </row>
    <row r="79" spans="2:28" x14ac:dyDescent="0.35">
      <c r="B79" t="s">
        <v>74</v>
      </c>
      <c r="D79" s="29"/>
      <c r="E79" s="29">
        <f>D83</f>
        <v>0.94298371699999906</v>
      </c>
      <c r="F79" s="201">
        <f>E83</f>
        <v>0.82142651699999902</v>
      </c>
      <c r="G79" s="29">
        <f t="shared" ref="G79:O79" si="85">F83</f>
        <v>1.2663188013940492</v>
      </c>
      <c r="H79" s="29">
        <f t="shared" si="85"/>
        <v>0.69558891760575126</v>
      </c>
      <c r="I79" s="29">
        <f t="shared" si="85"/>
        <v>0.38208699244083916</v>
      </c>
      <c r="J79" s="29">
        <f t="shared" si="85"/>
        <v>0.20988038494775296</v>
      </c>
      <c r="K79" s="29">
        <f t="shared" si="85"/>
        <v>0.11528729545180071</v>
      </c>
      <c r="L79" s="29">
        <f t="shared" si="85"/>
        <v>6.3327311391674135E-2</v>
      </c>
      <c r="M79" s="29">
        <f t="shared" si="85"/>
        <v>3.4785692147446604E-2</v>
      </c>
      <c r="N79" s="29">
        <f t="shared" si="85"/>
        <v>1.910778069659242E-2</v>
      </c>
      <c r="O79" s="29">
        <f t="shared" si="85"/>
        <v>1.0495903936638218E-2</v>
      </c>
      <c r="R79" s="3">
        <f>9430383.16999999/10^7</f>
        <v>0.94303831699999907</v>
      </c>
      <c r="S79" s="20">
        <f>R83</f>
        <v>0.94762033572499926</v>
      </c>
      <c r="T79" s="20">
        <f t="shared" ref="T79:AB79" si="86">S83</f>
        <v>1.4089772853662494</v>
      </c>
      <c r="U79" s="20">
        <f t="shared" si="86"/>
        <v>1.197630692561312</v>
      </c>
      <c r="V79" s="20">
        <f t="shared" si="86"/>
        <v>1.0179860886771153</v>
      </c>
      <c r="W79" s="20">
        <f t="shared" si="86"/>
        <v>0.86528817537554792</v>
      </c>
      <c r="X79" s="20">
        <f t="shared" si="86"/>
        <v>0.73549494906921575</v>
      </c>
      <c r="Y79" s="20">
        <f t="shared" si="86"/>
        <v>0.62517070670883335</v>
      </c>
      <c r="Z79" s="20">
        <f t="shared" si="86"/>
        <v>0.53139510070250839</v>
      </c>
      <c r="AA79" s="20">
        <f t="shared" si="86"/>
        <v>0.45168583559713216</v>
      </c>
      <c r="AB79" s="20">
        <f t="shared" si="86"/>
        <v>0.38393296025756235</v>
      </c>
    </row>
    <row r="80" spans="2:28" x14ac:dyDescent="0.35">
      <c r="B80" t="s">
        <v>178</v>
      </c>
      <c r="D80" s="29"/>
      <c r="E80" s="29">
        <f>814161/10^7</f>
        <v>8.1416100000000005E-2</v>
      </c>
      <c r="F80" s="201">
        <v>0.71</v>
      </c>
      <c r="G80" s="29"/>
      <c r="H80" s="29"/>
      <c r="I80" s="29"/>
      <c r="J80" s="29"/>
      <c r="K80" s="29"/>
      <c r="L80" s="29"/>
      <c r="M80" s="29"/>
      <c r="N80" s="29"/>
      <c r="O80" s="29"/>
      <c r="R80" s="85">
        <f t="shared" ref="R80:AB80" si="87">E80</f>
        <v>8.1416100000000005E-2</v>
      </c>
      <c r="S80" s="85">
        <f t="shared" si="87"/>
        <v>0.71</v>
      </c>
      <c r="T80" s="85">
        <f t="shared" si="87"/>
        <v>0</v>
      </c>
      <c r="U80" s="85">
        <f t="shared" si="87"/>
        <v>0</v>
      </c>
      <c r="V80" s="85">
        <f t="shared" si="87"/>
        <v>0</v>
      </c>
      <c r="W80" s="85">
        <f t="shared" si="87"/>
        <v>0</v>
      </c>
      <c r="X80" s="85">
        <f t="shared" si="87"/>
        <v>0</v>
      </c>
      <c r="Y80" s="85">
        <f t="shared" si="87"/>
        <v>0</v>
      </c>
      <c r="Z80" s="85">
        <f t="shared" si="87"/>
        <v>0</v>
      </c>
      <c r="AA80" s="85">
        <f t="shared" si="87"/>
        <v>0</v>
      </c>
      <c r="AB80" s="85">
        <f t="shared" si="87"/>
        <v>0</v>
      </c>
    </row>
    <row r="81" spans="2:28" x14ac:dyDescent="0.35">
      <c r="B81" t="s">
        <v>179</v>
      </c>
      <c r="D81" s="29"/>
      <c r="E81" s="29"/>
      <c r="F81" s="201"/>
      <c r="G81" s="29"/>
      <c r="H81" s="29"/>
      <c r="I81" s="29"/>
      <c r="J81" s="29"/>
      <c r="K81" s="29"/>
      <c r="L81" s="29"/>
      <c r="M81" s="29"/>
      <c r="N81" s="29"/>
      <c r="O81" s="29"/>
    </row>
    <row r="82" spans="2:28" x14ac:dyDescent="0.35">
      <c r="B82" t="s">
        <v>9</v>
      </c>
      <c r="C82" s="21">
        <v>0.45069999999999999</v>
      </c>
      <c r="D82" s="29"/>
      <c r="E82" s="29">
        <f>2029733/10^7</f>
        <v>0.2029733</v>
      </c>
      <c r="F82" s="201">
        <f>F79*$C$82*6/12+((F80-F81)*$C$82*3/12)</f>
        <v>0.26510771560594976</v>
      </c>
      <c r="G82" s="29">
        <f>G79*$C$82+((G80-G81)*$C$82*6/12)</f>
        <v>0.57072988378829792</v>
      </c>
      <c r="H82" s="29">
        <f t="shared" ref="H82:O82" si="88">H79*$C$82+((H80-H81)*$C$82*6/12)</f>
        <v>0.3135019251649121</v>
      </c>
      <c r="I82" s="29">
        <f t="shared" si="88"/>
        <v>0.17220660749308619</v>
      </c>
      <c r="J82" s="29">
        <f t="shared" si="88"/>
        <v>9.4593089495952257E-2</v>
      </c>
      <c r="K82" s="29">
        <f t="shared" si="88"/>
        <v>5.1959984060126578E-2</v>
      </c>
      <c r="L82" s="29">
        <f t="shared" si="88"/>
        <v>2.8541619244227531E-2</v>
      </c>
      <c r="M82" s="29">
        <f t="shared" si="88"/>
        <v>1.5677911450854183E-2</v>
      </c>
      <c r="N82" s="29">
        <f t="shared" si="88"/>
        <v>8.6118767599542029E-3</v>
      </c>
      <c r="O82" s="29">
        <f t="shared" si="88"/>
        <v>4.7305039042428443E-3</v>
      </c>
      <c r="Q82" s="24">
        <v>0.15</v>
      </c>
      <c r="R82" s="20">
        <f>(R79+R80-R81)*$Q$82/2</f>
        <v>7.6834081274999938E-2</v>
      </c>
      <c r="S82" s="20">
        <f>(S79+S80-S81)*$Q$82</f>
        <v>0.24864305035874987</v>
      </c>
      <c r="T82" s="20">
        <f t="shared" ref="T82:AB82" si="89">(T79+T80-T81)*$Q$82</f>
        <v>0.21134659280493742</v>
      </c>
      <c r="U82" s="20">
        <f t="shared" si="89"/>
        <v>0.17964460388419681</v>
      </c>
      <c r="V82" s="20">
        <f t="shared" si="89"/>
        <v>0.15269791330156729</v>
      </c>
      <c r="W82" s="20">
        <f t="shared" si="89"/>
        <v>0.12979322630633219</v>
      </c>
      <c r="X82" s="20">
        <f t="shared" si="89"/>
        <v>0.11032424236038237</v>
      </c>
      <c r="Y82" s="20">
        <f t="shared" si="89"/>
        <v>9.3775606006324994E-2</v>
      </c>
      <c r="Z82" s="20">
        <f t="shared" si="89"/>
        <v>7.9709265105376251E-2</v>
      </c>
      <c r="AA82" s="20">
        <f t="shared" si="89"/>
        <v>6.7752875339569821E-2</v>
      </c>
      <c r="AB82" s="20">
        <f t="shared" si="89"/>
        <v>5.758994403863435E-2</v>
      </c>
    </row>
    <row r="83" spans="2:28" x14ac:dyDescent="0.35">
      <c r="B83" s="22" t="s">
        <v>75</v>
      </c>
      <c r="C83" s="22"/>
      <c r="D83" s="70">
        <f>9429837.16999999/10^7</f>
        <v>0.94298371699999906</v>
      </c>
      <c r="E83" s="70">
        <f>E79+E80-E81-E82</f>
        <v>0.82142651699999902</v>
      </c>
      <c r="F83" s="202">
        <f>F79+F80-F81-F82</f>
        <v>1.2663188013940492</v>
      </c>
      <c r="G83" s="70">
        <f>G79+G80-G81-G82</f>
        <v>0.69558891760575126</v>
      </c>
      <c r="H83" s="70">
        <f t="shared" ref="H83:O83" si="90">H79+H80-H81-H82</f>
        <v>0.38208699244083916</v>
      </c>
      <c r="I83" s="70">
        <f t="shared" si="90"/>
        <v>0.20988038494775296</v>
      </c>
      <c r="J83" s="70">
        <f t="shared" si="90"/>
        <v>0.11528729545180071</v>
      </c>
      <c r="K83" s="70">
        <f t="shared" si="90"/>
        <v>6.3327311391674135E-2</v>
      </c>
      <c r="L83" s="70">
        <f t="shared" si="90"/>
        <v>3.4785692147446604E-2</v>
      </c>
      <c r="M83" s="70">
        <f t="shared" si="90"/>
        <v>1.910778069659242E-2</v>
      </c>
      <c r="N83" s="70">
        <f t="shared" si="90"/>
        <v>1.0495903936638218E-2</v>
      </c>
      <c r="O83" s="70">
        <f t="shared" si="90"/>
        <v>5.7654000323953732E-3</v>
      </c>
      <c r="R83" s="36">
        <f>R79+R80-R81-R82</f>
        <v>0.94762033572499926</v>
      </c>
      <c r="S83" s="36">
        <f>S79+S80-S81-S82</f>
        <v>1.4089772853662494</v>
      </c>
      <c r="T83" s="36">
        <f t="shared" ref="T83:AB83" si="91">T79+T80-T81-T82</f>
        <v>1.197630692561312</v>
      </c>
      <c r="U83" s="36">
        <f t="shared" si="91"/>
        <v>1.0179860886771153</v>
      </c>
      <c r="V83" s="36">
        <f t="shared" si="91"/>
        <v>0.86528817537554792</v>
      </c>
      <c r="W83" s="36">
        <f t="shared" si="91"/>
        <v>0.73549494906921575</v>
      </c>
      <c r="X83" s="36">
        <f t="shared" si="91"/>
        <v>0.62517070670883335</v>
      </c>
      <c r="Y83" s="36">
        <f t="shared" si="91"/>
        <v>0.53139510070250839</v>
      </c>
      <c r="Z83" s="36">
        <f t="shared" si="91"/>
        <v>0.45168583559713216</v>
      </c>
      <c r="AA83" s="36">
        <f t="shared" si="91"/>
        <v>0.38393296025756235</v>
      </c>
      <c r="AB83" s="36">
        <f t="shared" si="91"/>
        <v>0.32634301621892803</v>
      </c>
    </row>
    <row r="84" spans="2:28" x14ac:dyDescent="0.35">
      <c r="D84" s="29"/>
      <c r="E84" s="29"/>
      <c r="F84" s="201"/>
      <c r="G84" s="29"/>
      <c r="H84" s="29"/>
      <c r="I84" s="29"/>
      <c r="J84" s="29"/>
      <c r="K84" s="29"/>
      <c r="L84" s="29"/>
      <c r="M84" s="29"/>
      <c r="N84" s="29"/>
      <c r="O84" s="29"/>
    </row>
    <row r="85" spans="2:28" x14ac:dyDescent="0.35">
      <c r="B85" s="1" t="s">
        <v>174</v>
      </c>
      <c r="D85" s="29"/>
      <c r="E85" s="29"/>
      <c r="F85" s="201"/>
      <c r="G85" s="29"/>
      <c r="H85" s="29"/>
      <c r="I85" s="29"/>
      <c r="J85" s="29"/>
      <c r="K85" s="29"/>
      <c r="L85" s="29"/>
      <c r="M85" s="29"/>
      <c r="N85" s="29"/>
      <c r="O85" s="29"/>
    </row>
    <row r="86" spans="2:28" x14ac:dyDescent="0.35">
      <c r="B86" t="s">
        <v>74</v>
      </c>
      <c r="D86" s="29"/>
      <c r="E86" s="29">
        <f>D90</f>
        <v>2.3490430999999998</v>
      </c>
      <c r="F86" s="201">
        <f>E90</f>
        <v>2.5733223999999995</v>
      </c>
      <c r="G86" s="29">
        <f t="shared" ref="G86:O86" si="92">F90</f>
        <v>13.463274222800001</v>
      </c>
      <c r="H86" s="29">
        <f t="shared" si="92"/>
        <v>11.026421588473202</v>
      </c>
      <c r="I86" s="29">
        <f t="shared" si="92"/>
        <v>9.0306392809595515</v>
      </c>
      <c r="J86" s="29">
        <f t="shared" si="92"/>
        <v>7.3960935711058724</v>
      </c>
      <c r="K86" s="29">
        <f t="shared" si="92"/>
        <v>6.0574006347357097</v>
      </c>
      <c r="L86" s="29">
        <f t="shared" si="92"/>
        <v>4.9610111198485463</v>
      </c>
      <c r="M86" s="29">
        <f t="shared" si="92"/>
        <v>4.0630681071559591</v>
      </c>
      <c r="N86" s="29">
        <f t="shared" si="92"/>
        <v>3.3276527797607307</v>
      </c>
      <c r="O86" s="29">
        <f t="shared" si="92"/>
        <v>2.7253476266240386</v>
      </c>
      <c r="R86" s="3">
        <f>23490431/10^7</f>
        <v>2.3490430999999998</v>
      </c>
      <c r="S86" s="20">
        <f t="shared" ref="S86:AB86" si="93">R90</f>
        <v>2.5978428899999995</v>
      </c>
      <c r="T86" s="20">
        <f t="shared" si="93"/>
        <v>12.110666456499999</v>
      </c>
      <c r="U86" s="20">
        <f t="shared" si="93"/>
        <v>10.294066488024999</v>
      </c>
      <c r="V86" s="20">
        <f t="shared" si="93"/>
        <v>8.7499565148212497</v>
      </c>
      <c r="W86" s="20">
        <f t="shared" si="93"/>
        <v>7.4374630375980626</v>
      </c>
      <c r="X86" s="20">
        <f t="shared" si="93"/>
        <v>6.3218435819583529</v>
      </c>
      <c r="Y86" s="20">
        <f t="shared" si="93"/>
        <v>5.3735670446646004</v>
      </c>
      <c r="Z86" s="20">
        <f t="shared" si="93"/>
        <v>4.5675319879649106</v>
      </c>
      <c r="AA86" s="20">
        <f t="shared" si="93"/>
        <v>3.8824021897701742</v>
      </c>
      <c r="AB86" s="20">
        <f t="shared" si="93"/>
        <v>3.3000418613046483</v>
      </c>
    </row>
    <row r="87" spans="2:28" x14ac:dyDescent="0.35">
      <c r="B87" t="s">
        <v>178</v>
      </c>
      <c r="D87" s="29"/>
      <c r="E87" s="29">
        <f>4594357/10^7</f>
        <v>0.4594357</v>
      </c>
      <c r="F87" s="201">
        <f>11.65</f>
        <v>11.65</v>
      </c>
      <c r="G87" s="29"/>
      <c r="H87" s="29"/>
      <c r="I87" s="29"/>
      <c r="J87" s="29"/>
      <c r="K87" s="29"/>
      <c r="L87" s="29"/>
      <c r="M87" s="29"/>
      <c r="N87" s="29"/>
      <c r="O87" s="29"/>
      <c r="R87" s="85">
        <f t="shared" ref="R87:AB87" si="94">E87</f>
        <v>0.4594357</v>
      </c>
      <c r="S87" s="85">
        <f t="shared" si="94"/>
        <v>11.65</v>
      </c>
      <c r="T87" s="85">
        <f t="shared" si="94"/>
        <v>0</v>
      </c>
      <c r="U87" s="85">
        <f t="shared" si="94"/>
        <v>0</v>
      </c>
      <c r="V87" s="85">
        <f t="shared" si="94"/>
        <v>0</v>
      </c>
      <c r="W87" s="85">
        <f t="shared" si="94"/>
        <v>0</v>
      </c>
      <c r="X87" s="85">
        <f t="shared" si="94"/>
        <v>0</v>
      </c>
      <c r="Y87" s="85">
        <f t="shared" si="94"/>
        <v>0</v>
      </c>
      <c r="Z87" s="85">
        <f t="shared" si="94"/>
        <v>0</v>
      </c>
      <c r="AA87" s="85">
        <f t="shared" si="94"/>
        <v>0</v>
      </c>
      <c r="AB87" s="85">
        <f t="shared" si="94"/>
        <v>0</v>
      </c>
    </row>
    <row r="88" spans="2:28" x14ac:dyDescent="0.35">
      <c r="B88" t="s">
        <v>179</v>
      </c>
      <c r="D88" s="29"/>
      <c r="E88" s="29"/>
      <c r="F88" s="201"/>
      <c r="G88" s="29"/>
      <c r="H88" s="29"/>
      <c r="I88" s="29"/>
      <c r="J88" s="29"/>
      <c r="K88" s="29"/>
      <c r="L88" s="29"/>
      <c r="M88" s="29"/>
      <c r="N88" s="29"/>
      <c r="O88" s="29"/>
    </row>
    <row r="89" spans="2:28" x14ac:dyDescent="0.35">
      <c r="B89" t="s">
        <v>9</v>
      </c>
      <c r="C89" s="21">
        <v>0.18099999999999999</v>
      </c>
      <c r="D89" s="29"/>
      <c r="E89" s="29">
        <f>2351564/10^7</f>
        <v>0.23515639999999999</v>
      </c>
      <c r="F89" s="201">
        <f>F86*$C$89*6/12+((F87-F88)*$C$89*3/12)</f>
        <v>0.76004817719999995</v>
      </c>
      <c r="G89" s="29">
        <f>G86*$C$89+((G87-G88)*$C$89*6/12)</f>
        <v>2.4368526343268</v>
      </c>
      <c r="H89" s="29">
        <f t="shared" ref="H89:O89" si="95">H86*$C$89+((H87-H88)*$C$89*6/12)</f>
        <v>1.9957823075136494</v>
      </c>
      <c r="I89" s="29">
        <f t="shared" si="95"/>
        <v>1.6345457098536789</v>
      </c>
      <c r="J89" s="29">
        <f t="shared" si="95"/>
        <v>1.338692936370163</v>
      </c>
      <c r="K89" s="29">
        <f t="shared" si="95"/>
        <v>1.0963895148871634</v>
      </c>
      <c r="L89" s="29">
        <f t="shared" si="95"/>
        <v>0.89794301269258681</v>
      </c>
      <c r="M89" s="29">
        <f t="shared" si="95"/>
        <v>0.73541532739522852</v>
      </c>
      <c r="N89" s="29">
        <f t="shared" si="95"/>
        <v>0.6023051531366922</v>
      </c>
      <c r="O89" s="29">
        <f t="shared" si="95"/>
        <v>0.49328792041895098</v>
      </c>
      <c r="Q89" s="24">
        <v>0.15</v>
      </c>
      <c r="R89" s="20">
        <f>(R86+R87-R88)*$Q$89/2</f>
        <v>0.21063590999999995</v>
      </c>
      <c r="S89" s="20">
        <f>(S86+S87-S88)*$Q$89</f>
        <v>2.1371764334999996</v>
      </c>
      <c r="T89" s="20">
        <f t="shared" ref="T89:AB89" si="96">(T86+T87-T88)*$Q$89</f>
        <v>1.8165999684749998</v>
      </c>
      <c r="U89" s="20">
        <f t="shared" si="96"/>
        <v>1.5441099732037498</v>
      </c>
      <c r="V89" s="20">
        <f t="shared" si="96"/>
        <v>1.3124934772231873</v>
      </c>
      <c r="W89" s="20">
        <f t="shared" si="96"/>
        <v>1.1156194556397094</v>
      </c>
      <c r="X89" s="20">
        <f t="shared" si="96"/>
        <v>0.94827653729375294</v>
      </c>
      <c r="Y89" s="20">
        <f t="shared" si="96"/>
        <v>0.80603505669969</v>
      </c>
      <c r="Z89" s="20">
        <f t="shared" si="96"/>
        <v>0.68512979819473652</v>
      </c>
      <c r="AA89" s="20">
        <f t="shared" si="96"/>
        <v>0.5823603284655261</v>
      </c>
      <c r="AB89" s="20">
        <f t="shared" si="96"/>
        <v>0.49500627919569723</v>
      </c>
    </row>
    <row r="90" spans="2:28" x14ac:dyDescent="0.35">
      <c r="B90" s="22" t="s">
        <v>75</v>
      </c>
      <c r="C90" s="22"/>
      <c r="D90" s="70">
        <f>23490431/10^7</f>
        <v>2.3490430999999998</v>
      </c>
      <c r="E90" s="70">
        <f>E86+E87-E88-E89</f>
        <v>2.5733223999999995</v>
      </c>
      <c r="F90" s="202">
        <f t="shared" ref="F90:O90" si="97">F86+F87-F88-F89</f>
        <v>13.463274222800001</v>
      </c>
      <c r="G90" s="70">
        <f t="shared" si="97"/>
        <v>11.026421588473202</v>
      </c>
      <c r="H90" s="70">
        <f t="shared" si="97"/>
        <v>9.0306392809595515</v>
      </c>
      <c r="I90" s="70">
        <f t="shared" si="97"/>
        <v>7.3960935711058724</v>
      </c>
      <c r="J90" s="70">
        <f t="shared" si="97"/>
        <v>6.0574006347357097</v>
      </c>
      <c r="K90" s="70">
        <f t="shared" si="97"/>
        <v>4.9610111198485463</v>
      </c>
      <c r="L90" s="70">
        <f t="shared" si="97"/>
        <v>4.0630681071559591</v>
      </c>
      <c r="M90" s="70">
        <f t="shared" si="97"/>
        <v>3.3276527797607307</v>
      </c>
      <c r="N90" s="70">
        <f t="shared" si="97"/>
        <v>2.7253476266240386</v>
      </c>
      <c r="O90" s="70">
        <f t="shared" si="97"/>
        <v>2.2320597062050878</v>
      </c>
      <c r="R90" s="36">
        <f t="shared" ref="R90:AB90" si="98">R86+R87-R88-R89</f>
        <v>2.5978428899999995</v>
      </c>
      <c r="S90" s="36">
        <f t="shared" si="98"/>
        <v>12.110666456499999</v>
      </c>
      <c r="T90" s="36">
        <f t="shared" si="98"/>
        <v>10.294066488024999</v>
      </c>
      <c r="U90" s="36">
        <f t="shared" si="98"/>
        <v>8.7499565148212497</v>
      </c>
      <c r="V90" s="36">
        <f t="shared" si="98"/>
        <v>7.4374630375980626</v>
      </c>
      <c r="W90" s="36">
        <f t="shared" si="98"/>
        <v>6.3218435819583529</v>
      </c>
      <c r="X90" s="36">
        <f t="shared" si="98"/>
        <v>5.3735670446646004</v>
      </c>
      <c r="Y90" s="36">
        <f t="shared" si="98"/>
        <v>4.5675319879649106</v>
      </c>
      <c r="Z90" s="36">
        <f t="shared" si="98"/>
        <v>3.8824021897701742</v>
      </c>
      <c r="AA90" s="36">
        <f t="shared" si="98"/>
        <v>3.3000418613046483</v>
      </c>
      <c r="AB90" s="36">
        <f t="shared" si="98"/>
        <v>2.805035582108951</v>
      </c>
    </row>
    <row r="91" spans="2:28" x14ac:dyDescent="0.35">
      <c r="D91" s="29"/>
      <c r="E91" s="29"/>
      <c r="F91" s="201"/>
      <c r="G91" s="29"/>
      <c r="H91" s="29"/>
      <c r="I91" s="29"/>
      <c r="J91" s="29"/>
      <c r="K91" s="29"/>
      <c r="L91" s="29"/>
      <c r="M91" s="29"/>
      <c r="N91" s="29"/>
      <c r="O91" s="29"/>
    </row>
    <row r="92" spans="2:28" x14ac:dyDescent="0.35">
      <c r="B92" s="1" t="s">
        <v>175</v>
      </c>
      <c r="D92" s="29"/>
      <c r="E92" s="29"/>
      <c r="F92" s="201"/>
      <c r="G92" s="29"/>
      <c r="H92" s="29"/>
      <c r="I92" s="29"/>
      <c r="J92" s="29"/>
      <c r="K92" s="29"/>
      <c r="L92" s="29"/>
      <c r="M92" s="29"/>
      <c r="N92" s="29"/>
      <c r="O92" s="29"/>
    </row>
    <row r="93" spans="2:28" x14ac:dyDescent="0.35">
      <c r="B93" t="s">
        <v>74</v>
      </c>
      <c r="D93" s="29"/>
      <c r="E93" s="29">
        <f>D97</f>
        <v>5.0000000000000001E-3</v>
      </c>
      <c r="F93" s="201">
        <f t="shared" ref="F93:O93" si="99">E97</f>
        <v>5.0000000000000001E-3</v>
      </c>
      <c r="G93" s="29">
        <f t="shared" si="99"/>
        <v>5.0000000000000001E-3</v>
      </c>
      <c r="H93" s="29">
        <f t="shared" si="99"/>
        <v>5.0000000000000001E-3</v>
      </c>
      <c r="I93" s="29">
        <f t="shared" si="99"/>
        <v>5.0000000000000001E-3</v>
      </c>
      <c r="J93" s="29">
        <f t="shared" si="99"/>
        <v>5.0000000000000001E-3</v>
      </c>
      <c r="K93" s="29">
        <f t="shared" si="99"/>
        <v>5.0000000000000001E-3</v>
      </c>
      <c r="L93" s="29">
        <f t="shared" si="99"/>
        <v>5.0000000000000001E-3</v>
      </c>
      <c r="M93" s="29">
        <f t="shared" si="99"/>
        <v>5.0000000000000001E-3</v>
      </c>
      <c r="N93" s="29">
        <f t="shared" si="99"/>
        <v>5.0000000000000001E-3</v>
      </c>
      <c r="O93" s="29">
        <f t="shared" si="99"/>
        <v>5.0000000000000001E-3</v>
      </c>
      <c r="R93" s="85">
        <f>E93</f>
        <v>5.0000000000000001E-3</v>
      </c>
      <c r="S93" s="85">
        <f>R97</f>
        <v>5.0000000000000001E-3</v>
      </c>
      <c r="T93" s="85">
        <f t="shared" ref="T93:AB93" si="100">S97</f>
        <v>5.0000000000000001E-3</v>
      </c>
      <c r="U93" s="85">
        <f t="shared" si="100"/>
        <v>5.0000000000000001E-3</v>
      </c>
      <c r="V93" s="85">
        <f t="shared" si="100"/>
        <v>5.0000000000000001E-3</v>
      </c>
      <c r="W93" s="85">
        <f t="shared" si="100"/>
        <v>5.0000000000000001E-3</v>
      </c>
      <c r="X93" s="85">
        <f t="shared" si="100"/>
        <v>5.0000000000000001E-3</v>
      </c>
      <c r="Y93" s="85">
        <f t="shared" si="100"/>
        <v>5.0000000000000001E-3</v>
      </c>
      <c r="Z93" s="85">
        <f t="shared" si="100"/>
        <v>5.0000000000000001E-3</v>
      </c>
      <c r="AA93" s="85">
        <f t="shared" si="100"/>
        <v>5.0000000000000001E-3</v>
      </c>
      <c r="AB93" s="85">
        <f t="shared" si="100"/>
        <v>5.0000000000000001E-3</v>
      </c>
    </row>
    <row r="94" spans="2:28" x14ac:dyDescent="0.35">
      <c r="B94" t="s">
        <v>178</v>
      </c>
      <c r="D94" s="29"/>
      <c r="E94" s="29"/>
      <c r="F94" s="201"/>
      <c r="G94" s="29"/>
      <c r="H94" s="29"/>
      <c r="I94" s="29"/>
      <c r="J94" s="29"/>
      <c r="K94" s="29"/>
      <c r="L94" s="29"/>
      <c r="M94" s="29"/>
      <c r="N94" s="29"/>
      <c r="O94" s="29"/>
      <c r="R94" s="85">
        <f t="shared" ref="R94:AB94" si="101">E94</f>
        <v>0</v>
      </c>
      <c r="S94" s="85">
        <f t="shared" si="101"/>
        <v>0</v>
      </c>
      <c r="T94" s="85">
        <f t="shared" si="101"/>
        <v>0</v>
      </c>
      <c r="U94" s="85">
        <f t="shared" si="101"/>
        <v>0</v>
      </c>
      <c r="V94" s="85">
        <f t="shared" si="101"/>
        <v>0</v>
      </c>
      <c r="W94" s="85">
        <f t="shared" si="101"/>
        <v>0</v>
      </c>
      <c r="X94" s="85">
        <f t="shared" si="101"/>
        <v>0</v>
      </c>
      <c r="Y94" s="85">
        <f t="shared" si="101"/>
        <v>0</v>
      </c>
      <c r="Z94" s="85">
        <f t="shared" si="101"/>
        <v>0</v>
      </c>
      <c r="AA94" s="85">
        <f t="shared" si="101"/>
        <v>0</v>
      </c>
      <c r="AB94" s="85">
        <f t="shared" si="101"/>
        <v>0</v>
      </c>
    </row>
    <row r="95" spans="2:28" x14ac:dyDescent="0.35">
      <c r="B95" t="s">
        <v>179</v>
      </c>
      <c r="D95" s="29"/>
      <c r="E95" s="29"/>
      <c r="F95" s="201"/>
      <c r="G95" s="29"/>
      <c r="H95" s="29"/>
      <c r="I95" s="29"/>
      <c r="J95" s="29"/>
      <c r="K95" s="29"/>
      <c r="L95" s="29"/>
      <c r="M95" s="29"/>
      <c r="N95" s="29"/>
      <c r="O95" s="29"/>
    </row>
    <row r="96" spans="2:28" x14ac:dyDescent="0.35">
      <c r="B96" t="s">
        <v>9</v>
      </c>
      <c r="D96" s="29"/>
      <c r="E96" s="29"/>
      <c r="F96" s="201"/>
      <c r="G96" s="29"/>
      <c r="H96" s="29"/>
      <c r="I96" s="29"/>
      <c r="J96" s="29"/>
      <c r="K96" s="29"/>
      <c r="L96" s="29"/>
      <c r="M96" s="29"/>
      <c r="N96" s="29"/>
      <c r="O96" s="29"/>
    </row>
    <row r="97" spans="2:28" x14ac:dyDescent="0.35">
      <c r="B97" s="22" t="s">
        <v>75</v>
      </c>
      <c r="C97" s="22"/>
      <c r="D97" s="70">
        <f>50000/10^7</f>
        <v>5.0000000000000001E-3</v>
      </c>
      <c r="E97" s="70">
        <f t="shared" ref="E97:O97" si="102">E93+E94-E95-E96</f>
        <v>5.0000000000000001E-3</v>
      </c>
      <c r="F97" s="202">
        <f t="shared" si="102"/>
        <v>5.0000000000000001E-3</v>
      </c>
      <c r="G97" s="70">
        <f t="shared" si="102"/>
        <v>5.0000000000000001E-3</v>
      </c>
      <c r="H97" s="70">
        <f t="shared" si="102"/>
        <v>5.0000000000000001E-3</v>
      </c>
      <c r="I97" s="70">
        <f t="shared" si="102"/>
        <v>5.0000000000000001E-3</v>
      </c>
      <c r="J97" s="70">
        <f t="shared" si="102"/>
        <v>5.0000000000000001E-3</v>
      </c>
      <c r="K97" s="70">
        <f t="shared" si="102"/>
        <v>5.0000000000000001E-3</v>
      </c>
      <c r="L97" s="70">
        <f t="shared" si="102"/>
        <v>5.0000000000000001E-3</v>
      </c>
      <c r="M97" s="70">
        <f t="shared" si="102"/>
        <v>5.0000000000000001E-3</v>
      </c>
      <c r="N97" s="70">
        <f t="shared" si="102"/>
        <v>5.0000000000000001E-3</v>
      </c>
      <c r="O97" s="70">
        <f t="shared" si="102"/>
        <v>5.0000000000000001E-3</v>
      </c>
      <c r="R97" s="70">
        <f t="shared" ref="R97" si="103">R93+R94-R95-R96</f>
        <v>5.0000000000000001E-3</v>
      </c>
      <c r="S97" s="70">
        <f t="shared" ref="S97" si="104">S93+S94-S95-S96</f>
        <v>5.0000000000000001E-3</v>
      </c>
      <c r="T97" s="70">
        <f t="shared" ref="T97" si="105">T93+T94-T95-T96</f>
        <v>5.0000000000000001E-3</v>
      </c>
      <c r="U97" s="70">
        <f t="shared" ref="U97" si="106">U93+U94-U95-U96</f>
        <v>5.0000000000000001E-3</v>
      </c>
      <c r="V97" s="70">
        <f t="shared" ref="V97" si="107">V93+V94-V95-V96</f>
        <v>5.0000000000000001E-3</v>
      </c>
      <c r="W97" s="70">
        <f t="shared" ref="W97" si="108">W93+W94-W95-W96</f>
        <v>5.0000000000000001E-3</v>
      </c>
      <c r="X97" s="70">
        <f t="shared" ref="X97" si="109">X93+X94-X95-X96</f>
        <v>5.0000000000000001E-3</v>
      </c>
      <c r="Y97" s="70">
        <f t="shared" ref="Y97" si="110">Y93+Y94-Y95-Y96</f>
        <v>5.0000000000000001E-3</v>
      </c>
      <c r="Z97" s="70">
        <f t="shared" ref="Z97" si="111">Z93+Z94-Z95-Z96</f>
        <v>5.0000000000000001E-3</v>
      </c>
      <c r="AA97" s="70">
        <f t="shared" ref="AA97" si="112">AA93+AA94-AA95-AA96</f>
        <v>5.0000000000000001E-3</v>
      </c>
      <c r="AB97" s="70">
        <f t="shared" ref="AB97" si="113">AB93+AB94-AB95-AB96</f>
        <v>5.0000000000000001E-3</v>
      </c>
    </row>
    <row r="98" spans="2:28" x14ac:dyDescent="0.35">
      <c r="D98" s="29"/>
      <c r="E98" s="29"/>
      <c r="F98" s="201"/>
      <c r="G98" s="29"/>
      <c r="H98" s="29"/>
      <c r="I98" s="29"/>
      <c r="J98" s="29"/>
      <c r="K98" s="29"/>
      <c r="L98" s="29"/>
      <c r="M98" s="29"/>
      <c r="N98" s="29"/>
      <c r="O98" s="29"/>
    </row>
    <row r="99" spans="2:28" x14ac:dyDescent="0.35">
      <c r="B99" s="1" t="s">
        <v>182</v>
      </c>
      <c r="D99" s="29"/>
      <c r="E99" s="29"/>
      <c r="F99" s="201"/>
      <c r="G99" s="29"/>
      <c r="H99" s="29"/>
      <c r="I99" s="29"/>
      <c r="J99" s="29"/>
      <c r="K99" s="29"/>
      <c r="L99" s="29"/>
      <c r="M99" s="29"/>
      <c r="N99" s="29"/>
      <c r="O99" s="29"/>
    </row>
    <row r="100" spans="2:28" x14ac:dyDescent="0.35">
      <c r="B100" t="s">
        <v>74</v>
      </c>
      <c r="D100" s="29"/>
      <c r="E100" s="29">
        <f>D104</f>
        <v>14.685983999999999</v>
      </c>
      <c r="F100" s="201">
        <f>E104</f>
        <v>28.165984000000002</v>
      </c>
      <c r="G100" s="29"/>
      <c r="H100" s="29"/>
      <c r="I100" s="29"/>
      <c r="J100" s="29"/>
      <c r="K100" s="29"/>
      <c r="L100" s="29"/>
      <c r="M100" s="29"/>
      <c r="N100" s="29"/>
      <c r="O100" s="29"/>
      <c r="R100" s="85">
        <f>E100</f>
        <v>14.685983999999999</v>
      </c>
      <c r="S100" s="85">
        <f t="shared" ref="S100:AB101" si="114">F100</f>
        <v>28.165984000000002</v>
      </c>
      <c r="T100" s="85">
        <f t="shared" si="114"/>
        <v>0</v>
      </c>
      <c r="U100" s="85">
        <f t="shared" si="114"/>
        <v>0</v>
      </c>
      <c r="V100" s="85">
        <f t="shared" si="114"/>
        <v>0</v>
      </c>
      <c r="W100" s="85">
        <f t="shared" si="114"/>
        <v>0</v>
      </c>
      <c r="X100" s="85">
        <f t="shared" si="114"/>
        <v>0</v>
      </c>
      <c r="Y100" s="85">
        <f t="shared" si="114"/>
        <v>0</v>
      </c>
      <c r="Z100" s="85">
        <f t="shared" si="114"/>
        <v>0</v>
      </c>
      <c r="AA100" s="85">
        <f t="shared" si="114"/>
        <v>0</v>
      </c>
      <c r="AB100" s="85">
        <f t="shared" si="114"/>
        <v>0</v>
      </c>
    </row>
    <row r="101" spans="2:28" x14ac:dyDescent="0.35">
      <c r="B101" t="s">
        <v>176</v>
      </c>
      <c r="D101" s="29"/>
      <c r="E101" s="29">
        <f>13.48</f>
        <v>13.48</v>
      </c>
      <c r="F101" s="144">
        <f>-F100</f>
        <v>-28.165984000000002</v>
      </c>
      <c r="G101" s="29"/>
      <c r="H101" s="29"/>
      <c r="I101" s="29"/>
      <c r="J101" s="29"/>
      <c r="K101" s="29"/>
      <c r="L101" s="29"/>
      <c r="M101" s="29"/>
      <c r="N101" s="29"/>
      <c r="O101" s="29"/>
      <c r="R101" s="85">
        <f>E101</f>
        <v>13.48</v>
      </c>
      <c r="S101" s="85">
        <f t="shared" si="114"/>
        <v>-28.165984000000002</v>
      </c>
      <c r="T101" s="85">
        <f t="shared" si="114"/>
        <v>0</v>
      </c>
      <c r="U101" s="85">
        <f t="shared" si="114"/>
        <v>0</v>
      </c>
      <c r="V101" s="85">
        <f t="shared" si="114"/>
        <v>0</v>
      </c>
      <c r="W101" s="85">
        <f t="shared" si="114"/>
        <v>0</v>
      </c>
      <c r="X101" s="85">
        <f t="shared" si="114"/>
        <v>0</v>
      </c>
      <c r="Y101" s="85">
        <f t="shared" si="114"/>
        <v>0</v>
      </c>
      <c r="Z101" s="85">
        <f t="shared" si="114"/>
        <v>0</v>
      </c>
      <c r="AA101" s="85">
        <f t="shared" si="114"/>
        <v>0</v>
      </c>
      <c r="AB101" s="85">
        <f t="shared" si="114"/>
        <v>0</v>
      </c>
    </row>
    <row r="102" spans="2:28" x14ac:dyDescent="0.35">
      <c r="B102" t="s">
        <v>183</v>
      </c>
      <c r="D102" s="29"/>
      <c r="E102" s="29"/>
      <c r="F102" s="201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2:28" x14ac:dyDescent="0.35">
      <c r="B103" t="s">
        <v>9</v>
      </c>
      <c r="D103" s="29"/>
      <c r="E103" s="29"/>
      <c r="F103" s="201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2:28" x14ac:dyDescent="0.35">
      <c r="B104" s="22" t="s">
        <v>75</v>
      </c>
      <c r="C104" s="22"/>
      <c r="D104" s="70">
        <f>146859840/10^7</f>
        <v>14.685983999999999</v>
      </c>
      <c r="E104" s="70">
        <f>E100+E101-E102-E103</f>
        <v>28.165984000000002</v>
      </c>
      <c r="F104" s="202">
        <f t="shared" ref="F104:O104" si="115">F100+F101-F102-F103</f>
        <v>0</v>
      </c>
      <c r="G104" s="70">
        <f t="shared" si="115"/>
        <v>0</v>
      </c>
      <c r="H104" s="70">
        <f t="shared" si="115"/>
        <v>0</v>
      </c>
      <c r="I104" s="70">
        <f t="shared" si="115"/>
        <v>0</v>
      </c>
      <c r="J104" s="70">
        <f t="shared" si="115"/>
        <v>0</v>
      </c>
      <c r="K104" s="70">
        <f t="shared" si="115"/>
        <v>0</v>
      </c>
      <c r="L104" s="70">
        <f t="shared" si="115"/>
        <v>0</v>
      </c>
      <c r="M104" s="70">
        <f t="shared" si="115"/>
        <v>0</v>
      </c>
      <c r="N104" s="70">
        <f t="shared" si="115"/>
        <v>0</v>
      </c>
      <c r="O104" s="70">
        <f t="shared" si="115"/>
        <v>0</v>
      </c>
      <c r="R104" s="70">
        <f t="shared" ref="R104" si="116">R100+R101-R102-R103</f>
        <v>28.165984000000002</v>
      </c>
      <c r="S104" s="70">
        <f t="shared" ref="S104" si="117">S100+S101-S102-S103</f>
        <v>0</v>
      </c>
      <c r="T104" s="70">
        <f t="shared" ref="T104" si="118">T100+T101-T102-T103</f>
        <v>0</v>
      </c>
      <c r="U104" s="70">
        <f t="shared" ref="U104" si="119">U100+U101-U102-U103</f>
        <v>0</v>
      </c>
      <c r="V104" s="70">
        <f t="shared" ref="V104" si="120">V100+V101-V102-V103</f>
        <v>0</v>
      </c>
      <c r="W104" s="70">
        <f t="shared" ref="W104" si="121">W100+W101-W102-W103</f>
        <v>0</v>
      </c>
      <c r="X104" s="70">
        <f t="shared" ref="X104" si="122">X100+X101-X102-X103</f>
        <v>0</v>
      </c>
      <c r="Y104" s="70">
        <f t="shared" ref="Y104" si="123">Y100+Y101-Y102-Y103</f>
        <v>0</v>
      </c>
      <c r="Z104" s="70">
        <f t="shared" ref="Z104" si="124">Z100+Z101-Z102-Z103</f>
        <v>0</v>
      </c>
      <c r="AA104" s="70">
        <f t="shared" ref="AA104" si="125">AA100+AA101-AA102-AA103</f>
        <v>0</v>
      </c>
      <c r="AB104" s="70">
        <f t="shared" ref="AB104" si="126">AB100+AB101-AB102-AB103</f>
        <v>0</v>
      </c>
    </row>
    <row r="105" spans="2:28" x14ac:dyDescent="0.35">
      <c r="F105" s="203"/>
    </row>
    <row r="106" spans="2:28" x14ac:dyDescent="0.35">
      <c r="F106" s="145"/>
    </row>
    <row r="107" spans="2:28" x14ac:dyDescent="0.35">
      <c r="F107" s="145"/>
    </row>
    <row r="108" spans="2:28" x14ac:dyDescent="0.35">
      <c r="F108" s="1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0"/>
  <sheetViews>
    <sheetView showGridLines="0" workbookViewId="0">
      <pane xSplit="1" ySplit="5" topLeftCell="B140" activePane="bottomRight" state="frozen"/>
      <selection pane="topRight" activeCell="B1" sqref="B1"/>
      <selection pane="bottomLeft" activeCell="A6" sqref="A6"/>
      <selection pane="bottomRight" activeCell="F151" sqref="F151"/>
    </sheetView>
  </sheetViews>
  <sheetFormatPr defaultRowHeight="14.5" x14ac:dyDescent="0.35"/>
  <cols>
    <col min="1" max="1" width="2.7265625" customWidth="1"/>
    <col min="2" max="2" width="36" style="3" customWidth="1"/>
    <col min="3" max="3" width="10.1796875" bestFit="1" customWidth="1"/>
    <col min="4" max="4" width="10.54296875" bestFit="1" customWidth="1"/>
    <col min="5" max="5" width="11.7265625" customWidth="1"/>
    <col min="6" max="15" width="9.7265625" customWidth="1"/>
    <col min="16" max="17" width="8.7265625" customWidth="1"/>
  </cols>
  <sheetData>
    <row r="1" spans="2:17" ht="18.5" x14ac:dyDescent="0.45">
      <c r="B1" s="68" t="s">
        <v>68</v>
      </c>
    </row>
    <row r="2" spans="2:17" ht="18.5" x14ac:dyDescent="0.45">
      <c r="B2" s="68" t="s">
        <v>104</v>
      </c>
    </row>
    <row r="3" spans="2:17" ht="21" x14ac:dyDescent="0.5">
      <c r="B3" s="217" t="s">
        <v>213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90"/>
      <c r="Q3" s="90"/>
    </row>
    <row r="4" spans="2:17" ht="18.5" x14ac:dyDescent="0.45">
      <c r="B4" s="68"/>
    </row>
    <row r="5" spans="2:17" x14ac:dyDescent="0.35">
      <c r="B5" s="58" t="s">
        <v>60</v>
      </c>
      <c r="C5" s="26"/>
      <c r="D5" s="71" t="s">
        <v>47</v>
      </c>
      <c r="E5" s="71">
        <v>44469</v>
      </c>
      <c r="F5" s="71">
        <v>44651</v>
      </c>
      <c r="G5" s="71">
        <v>45016</v>
      </c>
      <c r="H5" s="71">
        <v>45382</v>
      </c>
      <c r="I5" s="71">
        <v>45747</v>
      </c>
      <c r="J5" s="71">
        <v>46112</v>
      </c>
      <c r="K5" s="71">
        <v>46477</v>
      </c>
      <c r="L5" s="71">
        <v>46843</v>
      </c>
      <c r="M5" s="71">
        <v>47208</v>
      </c>
      <c r="N5" s="71">
        <v>47573</v>
      </c>
      <c r="O5" s="71">
        <v>47938</v>
      </c>
    </row>
    <row r="6" spans="2:17" x14ac:dyDescent="0.35">
      <c r="B6" s="43" t="s">
        <v>81</v>
      </c>
      <c r="D6" s="80" t="s">
        <v>87</v>
      </c>
      <c r="E6" s="80" t="s">
        <v>87</v>
      </c>
      <c r="F6" s="80" t="s">
        <v>87</v>
      </c>
      <c r="G6" s="80" t="s">
        <v>87</v>
      </c>
      <c r="H6" s="80" t="s">
        <v>87</v>
      </c>
      <c r="I6" s="80" t="s">
        <v>87</v>
      </c>
      <c r="J6" s="80" t="s">
        <v>87</v>
      </c>
      <c r="K6" s="80" t="s">
        <v>87</v>
      </c>
      <c r="L6" s="80" t="s">
        <v>87</v>
      </c>
      <c r="M6" s="80" t="s">
        <v>87</v>
      </c>
      <c r="N6" s="80" t="s">
        <v>87</v>
      </c>
      <c r="O6" s="80" t="s">
        <v>87</v>
      </c>
    </row>
    <row r="7" spans="2:17" x14ac:dyDescent="0.35">
      <c r="B7" s="3" t="s">
        <v>20</v>
      </c>
      <c r="D7" s="3">
        <f t="shared" ref="D7:D14" si="0">SUM(E7:O7)</f>
        <v>19.809999999999999</v>
      </c>
      <c r="E7" s="29">
        <f>BA!D7*BA!E7</f>
        <v>19.809999999999999</v>
      </c>
      <c r="F7" s="29">
        <f>BA!$D7*BA!G7</f>
        <v>0</v>
      </c>
      <c r="G7" s="29">
        <f>BA!$D7*BA!H7</f>
        <v>0</v>
      </c>
      <c r="H7" s="29">
        <f>BA!$D7*BA!I7</f>
        <v>0</v>
      </c>
      <c r="I7" s="29">
        <f>BA!$D7*BA!J7</f>
        <v>0</v>
      </c>
      <c r="J7" s="29">
        <f>BA!$D7*BA!K7</f>
        <v>0</v>
      </c>
      <c r="K7" s="29">
        <f>BA!$D7*BA!L7</f>
        <v>0</v>
      </c>
      <c r="L7" s="29">
        <f>BA!$D7*BA!M7</f>
        <v>0</v>
      </c>
      <c r="M7" s="29">
        <f>BA!$D7*BA!N7</f>
        <v>0</v>
      </c>
      <c r="N7" s="29">
        <f>BA!$D7*BA!O7</f>
        <v>0</v>
      </c>
      <c r="O7" s="29">
        <f>BA!$D7*BA!P7</f>
        <v>0</v>
      </c>
    </row>
    <row r="8" spans="2:17" x14ac:dyDescent="0.35">
      <c r="B8" s="3" t="s">
        <v>21</v>
      </c>
      <c r="D8" s="3">
        <f t="shared" si="0"/>
        <v>114</v>
      </c>
      <c r="E8" s="29">
        <f>BA!D8*BA!E8</f>
        <v>9.84</v>
      </c>
      <c r="F8" s="29">
        <f>BA!$D8*BA!G8</f>
        <v>92.16</v>
      </c>
      <c r="G8" s="29">
        <f>BA!$D8*BA!H8</f>
        <v>12</v>
      </c>
      <c r="H8" s="29">
        <f>BA!$D8*BA!I8</f>
        <v>0</v>
      </c>
      <c r="I8" s="29">
        <f>BA!$D8*BA!J8</f>
        <v>0</v>
      </c>
      <c r="J8" s="29">
        <f>BA!$D8*BA!K8</f>
        <v>0</v>
      </c>
      <c r="K8" s="29">
        <f>BA!$D8*BA!L8</f>
        <v>0</v>
      </c>
      <c r="L8" s="29">
        <f>BA!$D8*BA!M8</f>
        <v>0</v>
      </c>
      <c r="M8" s="29">
        <f>BA!$D8*BA!N8</f>
        <v>0</v>
      </c>
      <c r="N8" s="29">
        <f>BA!$D8*BA!O8</f>
        <v>0</v>
      </c>
      <c r="O8" s="29">
        <f>BA!$D8*BA!P8</f>
        <v>0</v>
      </c>
    </row>
    <row r="9" spans="2:17" x14ac:dyDescent="0.35">
      <c r="B9" s="3" t="s">
        <v>22</v>
      </c>
      <c r="D9" s="3">
        <f t="shared" si="0"/>
        <v>70</v>
      </c>
      <c r="E9" s="29">
        <f>BA!D9*BA!E9</f>
        <v>0</v>
      </c>
      <c r="F9" s="29">
        <f>BA!$D9*BA!G9</f>
        <v>70</v>
      </c>
      <c r="G9" s="29">
        <f>BA!$D9*BA!H9</f>
        <v>0</v>
      </c>
      <c r="H9" s="29">
        <f>BA!$D9*BA!I9</f>
        <v>0</v>
      </c>
      <c r="I9" s="29">
        <f>BA!$D9*BA!J9</f>
        <v>0</v>
      </c>
      <c r="J9" s="29">
        <f>BA!$D9*BA!K9</f>
        <v>0</v>
      </c>
      <c r="K9" s="29">
        <f>BA!$D9*BA!L9</f>
        <v>0</v>
      </c>
      <c r="L9" s="29">
        <f>BA!$D9*BA!M9</f>
        <v>0</v>
      </c>
      <c r="M9" s="29">
        <f>BA!$D9*BA!N9</f>
        <v>0</v>
      </c>
      <c r="N9" s="29">
        <f>BA!$D9*BA!O9</f>
        <v>0</v>
      </c>
      <c r="O9" s="29">
        <f>BA!$D9*BA!P9</f>
        <v>0</v>
      </c>
    </row>
    <row r="10" spans="2:17" x14ac:dyDescent="0.35">
      <c r="B10" s="3" t="s">
        <v>23</v>
      </c>
      <c r="D10" s="3">
        <f t="shared" si="0"/>
        <v>31.718499999999999</v>
      </c>
      <c r="E10" s="29">
        <f>BA!D10*BA!E10</f>
        <v>31.718499999999999</v>
      </c>
      <c r="F10" s="29">
        <f>BA!$D10*BA!G10</f>
        <v>0</v>
      </c>
      <c r="G10" s="29">
        <f>BA!$D10*BA!H10</f>
        <v>0</v>
      </c>
      <c r="H10" s="29">
        <f>BA!$D10*BA!I10</f>
        <v>0</v>
      </c>
      <c r="I10" s="29">
        <f>BA!$D10*BA!J10</f>
        <v>0</v>
      </c>
      <c r="J10" s="29">
        <f>BA!$D10*BA!K10</f>
        <v>0</v>
      </c>
      <c r="K10" s="29">
        <f>BA!$D10*BA!L10</f>
        <v>0</v>
      </c>
      <c r="L10" s="29">
        <f>BA!$D10*BA!M10</f>
        <v>0</v>
      </c>
      <c r="M10" s="29">
        <f>BA!$D10*BA!N10</f>
        <v>0</v>
      </c>
      <c r="N10" s="29">
        <f>BA!$D10*BA!O10</f>
        <v>0</v>
      </c>
      <c r="O10" s="29">
        <f>BA!$D10*BA!P10</f>
        <v>0</v>
      </c>
    </row>
    <row r="11" spans="2:17" x14ac:dyDescent="0.35">
      <c r="B11" s="3" t="s">
        <v>24</v>
      </c>
      <c r="D11" s="3">
        <f t="shared" si="0"/>
        <v>32.736000000000004</v>
      </c>
      <c r="E11" s="29">
        <f>BA!D11*BA!E11</f>
        <v>0</v>
      </c>
      <c r="F11" s="29">
        <f>BA!$D11*BA!G11</f>
        <v>32.736000000000004</v>
      </c>
      <c r="G11" s="29">
        <f>BA!$D11*BA!H11</f>
        <v>0</v>
      </c>
      <c r="H11" s="29">
        <f>BA!$D11*BA!I11</f>
        <v>0</v>
      </c>
      <c r="I11" s="29">
        <f>BA!$D11*BA!J11</f>
        <v>0</v>
      </c>
      <c r="J11" s="29">
        <f>BA!$D11*BA!K11</f>
        <v>0</v>
      </c>
      <c r="K11" s="29">
        <f>BA!$D11*BA!L11</f>
        <v>0</v>
      </c>
      <c r="L11" s="29">
        <f>BA!$D11*BA!M11</f>
        <v>0</v>
      </c>
      <c r="M11" s="29">
        <f>BA!$D11*BA!N11</f>
        <v>0</v>
      </c>
      <c r="N11" s="29">
        <f>BA!$D11*BA!O11</f>
        <v>0</v>
      </c>
      <c r="O11" s="29">
        <f>BA!$D11*BA!P11</f>
        <v>0</v>
      </c>
    </row>
    <row r="12" spans="2:17" x14ac:dyDescent="0.35">
      <c r="B12" s="3" t="s">
        <v>25</v>
      </c>
      <c r="D12" s="3">
        <f t="shared" si="0"/>
        <v>45</v>
      </c>
      <c r="E12" s="29">
        <f>BA!D12*BA!E12</f>
        <v>0</v>
      </c>
      <c r="F12" s="29">
        <f>BA!$D12*BA!G12</f>
        <v>45</v>
      </c>
      <c r="G12" s="29">
        <f>BA!$D12*BA!H12</f>
        <v>0</v>
      </c>
      <c r="H12" s="29">
        <f>BA!$D12*BA!I12</f>
        <v>0</v>
      </c>
      <c r="I12" s="29">
        <f>BA!$D12*BA!J12</f>
        <v>0</v>
      </c>
      <c r="J12" s="29">
        <f>BA!$D12*BA!K12</f>
        <v>0</v>
      </c>
      <c r="K12" s="29">
        <f>BA!$D12*BA!L12</f>
        <v>0</v>
      </c>
      <c r="L12" s="29">
        <f>BA!$D12*BA!M12</f>
        <v>0</v>
      </c>
      <c r="M12" s="29">
        <f>BA!$D12*BA!N12</f>
        <v>0</v>
      </c>
      <c r="N12" s="29">
        <f>BA!$D12*BA!O12</f>
        <v>0</v>
      </c>
      <c r="O12" s="29">
        <f>BA!$D12*BA!P12</f>
        <v>0</v>
      </c>
    </row>
    <row r="13" spans="2:17" x14ac:dyDescent="0.35">
      <c r="B13" s="3" t="s">
        <v>26</v>
      </c>
      <c r="D13" s="3">
        <f t="shared" si="0"/>
        <v>10</v>
      </c>
      <c r="E13" s="29">
        <f>BA!D13*BA!E13</f>
        <v>0</v>
      </c>
      <c r="F13" s="29">
        <f>BA!$D13*BA!G13</f>
        <v>10</v>
      </c>
      <c r="G13" s="29">
        <f>BA!$D13*BA!H13</f>
        <v>0</v>
      </c>
      <c r="H13" s="29">
        <f>BA!$D13*BA!I13</f>
        <v>0</v>
      </c>
      <c r="I13" s="29">
        <f>BA!$D13*BA!J13</f>
        <v>0</v>
      </c>
      <c r="J13" s="29">
        <f>BA!$D13*BA!K13</f>
        <v>0</v>
      </c>
      <c r="K13" s="29">
        <f>BA!$D13*BA!L13</f>
        <v>0</v>
      </c>
      <c r="L13" s="29">
        <f>BA!$D13*BA!M13</f>
        <v>0</v>
      </c>
      <c r="M13" s="29">
        <f>BA!$D13*BA!N13</f>
        <v>0</v>
      </c>
      <c r="N13" s="29">
        <f>BA!$D13*BA!O13</f>
        <v>0</v>
      </c>
      <c r="O13" s="29">
        <f>BA!$D13*BA!P13</f>
        <v>0</v>
      </c>
    </row>
    <row r="14" spans="2:17" x14ac:dyDescent="0.35">
      <c r="B14" s="36"/>
      <c r="C14" s="22"/>
      <c r="D14" s="36">
        <f t="shared" si="0"/>
        <v>323.2645</v>
      </c>
      <c r="E14" s="70">
        <f t="shared" ref="E14:M14" si="1">SUM(E7:E13)</f>
        <v>61.368499999999997</v>
      </c>
      <c r="F14" s="70">
        <f t="shared" si="1"/>
        <v>249.89600000000002</v>
      </c>
      <c r="G14" s="70">
        <f t="shared" si="1"/>
        <v>12</v>
      </c>
      <c r="H14" s="70">
        <f t="shared" si="1"/>
        <v>0</v>
      </c>
      <c r="I14" s="70">
        <f t="shared" si="1"/>
        <v>0</v>
      </c>
      <c r="J14" s="70">
        <f t="shared" si="1"/>
        <v>0</v>
      </c>
      <c r="K14" s="70">
        <f t="shared" si="1"/>
        <v>0</v>
      </c>
      <c r="L14" s="70">
        <f t="shared" si="1"/>
        <v>0</v>
      </c>
      <c r="M14" s="70">
        <f t="shared" si="1"/>
        <v>0</v>
      </c>
      <c r="N14" s="70"/>
      <c r="O14" s="70"/>
    </row>
    <row r="15" spans="2:17" x14ac:dyDescent="0.35"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"/>
      <c r="Q15" s="3"/>
    </row>
    <row r="16" spans="2:17" x14ac:dyDescent="0.35">
      <c r="B16" s="43" t="s">
        <v>80</v>
      </c>
      <c r="C16" s="1" t="s">
        <v>79</v>
      </c>
      <c r="D16" s="81" t="s">
        <v>87</v>
      </c>
      <c r="E16" s="196" t="s">
        <v>87</v>
      </c>
      <c r="F16" s="196" t="s">
        <v>87</v>
      </c>
      <c r="G16" s="196" t="s">
        <v>87</v>
      </c>
      <c r="H16" s="196" t="s">
        <v>87</v>
      </c>
      <c r="I16" s="196" t="s">
        <v>87</v>
      </c>
      <c r="J16" s="196" t="s">
        <v>87</v>
      </c>
      <c r="K16" s="196" t="s">
        <v>87</v>
      </c>
      <c r="L16" s="196" t="s">
        <v>87</v>
      </c>
      <c r="M16" s="196" t="s">
        <v>87</v>
      </c>
      <c r="N16" s="196" t="s">
        <v>87</v>
      </c>
      <c r="O16" s="196" t="s">
        <v>87</v>
      </c>
    </row>
    <row r="17" spans="2:24" x14ac:dyDescent="0.35">
      <c r="B17" s="3" t="s">
        <v>20</v>
      </c>
      <c r="C17" s="76">
        <f>BA!E19</f>
        <v>44742</v>
      </c>
      <c r="D17" s="3">
        <f t="shared" ref="D17:D24" si="2">SUM(E17:O17)</f>
        <v>48</v>
      </c>
      <c r="E17" s="29"/>
      <c r="F17" s="29">
        <f>BA!$C19*BA!$D19*BA!F19/10^7</f>
        <v>33.6</v>
      </c>
      <c r="G17" s="29">
        <f>BA!$C19*BA!$D19*BA!G19/10^7</f>
        <v>14.4</v>
      </c>
      <c r="H17" s="29">
        <f>BA!$C19*BA!$D19*BA!H19/10^7</f>
        <v>0</v>
      </c>
      <c r="I17" s="29">
        <f>BA!$C19*BA!$D19*BA!I19/10^7</f>
        <v>0</v>
      </c>
      <c r="J17" s="29">
        <f>BA!$C19*BA!$D19*BA!J19/10^7</f>
        <v>0</v>
      </c>
      <c r="K17" s="29">
        <f>BA!$C19*BA!$D19*BA!K19/10^7</f>
        <v>0</v>
      </c>
      <c r="L17" s="29">
        <f>BA!$C19*BA!$D19*BA!L19/10^7</f>
        <v>0</v>
      </c>
      <c r="M17" s="29">
        <f>BA!$C19*BA!$D19*BA!M19/10^7</f>
        <v>0</v>
      </c>
      <c r="N17" s="29">
        <f>BA!$C19*BA!$D19*BA!N19/10^7</f>
        <v>0</v>
      </c>
      <c r="O17" s="29">
        <f>BA!$C19*BA!$D19*BA!O19/10^7</f>
        <v>0</v>
      </c>
      <c r="Q17" s="3"/>
    </row>
    <row r="18" spans="2:24" x14ac:dyDescent="0.35">
      <c r="B18" s="3" t="s">
        <v>21</v>
      </c>
      <c r="C18" s="76">
        <f>BA!E20</f>
        <v>45107</v>
      </c>
      <c r="D18" s="3">
        <f t="shared" si="2"/>
        <v>248.29199999999997</v>
      </c>
      <c r="E18" s="29"/>
      <c r="F18" s="29">
        <f>BA!$C20*BA!$D20*BA!F20/10^7</f>
        <v>0</v>
      </c>
      <c r="G18" s="29">
        <f>BA!$C20*BA!$D20*BA!G20/10^7</f>
        <v>99.316800000000001</v>
      </c>
      <c r="H18" s="29">
        <f>BA!$C20*BA!$D20*BA!H20/10^7</f>
        <v>24.8292</v>
      </c>
      <c r="I18" s="29">
        <f>BA!$C20*BA!$D20*BA!I20/10^7</f>
        <v>0</v>
      </c>
      <c r="J18" s="29">
        <f>BA!$C20*BA!$D20*BA!J20/10^7</f>
        <v>49.6584</v>
      </c>
      <c r="K18" s="29">
        <f>BA!$C20*BA!$D20*BA!K20/10^7</f>
        <v>74.4876</v>
      </c>
      <c r="L18" s="29">
        <f>BA!$C20*BA!$D20*BA!L20/10^7</f>
        <v>0</v>
      </c>
      <c r="M18" s="29">
        <f>BA!$C20*BA!$D20*BA!M20/10^7</f>
        <v>0</v>
      </c>
      <c r="N18" s="29">
        <f>BA!$C20*BA!$D20*BA!N20/10^7</f>
        <v>0</v>
      </c>
      <c r="O18" s="29">
        <f>BA!$C20*BA!$D20*BA!O20/10^7</f>
        <v>0</v>
      </c>
    </row>
    <row r="19" spans="2:24" x14ac:dyDescent="0.35">
      <c r="B19" s="3" t="s">
        <v>22</v>
      </c>
      <c r="C19" s="76">
        <f>BA!E21</f>
        <v>45199</v>
      </c>
      <c r="D19" s="3">
        <f t="shared" si="2"/>
        <v>96</v>
      </c>
      <c r="E19" s="29"/>
      <c r="F19" s="29">
        <f>BA!$C21*BA!$D21*BA!F21/10^7</f>
        <v>0</v>
      </c>
      <c r="G19" s="29">
        <f>BA!$C21*BA!$D21*BA!G21/10^7</f>
        <v>57.6</v>
      </c>
      <c r="H19" s="29">
        <f>BA!$C21*BA!$D21*BA!H21/10^7</f>
        <v>38.4</v>
      </c>
      <c r="I19" s="29">
        <f>BA!$C21*BA!$D21*BA!I21/10^7</f>
        <v>0</v>
      </c>
      <c r="J19" s="29">
        <f>BA!$C21*BA!$D21*BA!J21/10^7</f>
        <v>0</v>
      </c>
      <c r="K19" s="29">
        <f>BA!$C21*BA!$D21*BA!K21/10^7</f>
        <v>0</v>
      </c>
      <c r="L19" s="29">
        <f>BA!$C21*BA!$D21*BA!L21/10^7</f>
        <v>0</v>
      </c>
      <c r="M19" s="29">
        <f>BA!$C21*BA!$D21*BA!M21/10^7</f>
        <v>0</v>
      </c>
      <c r="N19" s="29">
        <f>BA!$C21*BA!$D21*BA!N21/10^7</f>
        <v>0</v>
      </c>
      <c r="O19" s="29">
        <f>BA!$C21*BA!$D21*BA!O21/10^7</f>
        <v>0</v>
      </c>
    </row>
    <row r="20" spans="2:24" x14ac:dyDescent="0.35">
      <c r="B20" s="3" t="s">
        <v>23</v>
      </c>
      <c r="C20" s="76">
        <f>BA!E22</f>
        <v>45016</v>
      </c>
      <c r="D20" s="3">
        <f t="shared" si="2"/>
        <v>96</v>
      </c>
      <c r="E20" s="29"/>
      <c r="F20" s="29">
        <f>BA!$C22*BA!$D22*BA!F22/10^7</f>
        <v>0</v>
      </c>
      <c r="G20" s="29">
        <f>BA!$C22*BA!$D22*BA!G22/10^7</f>
        <v>96</v>
      </c>
      <c r="H20" s="29">
        <f>BA!$C22*BA!$D22*BA!H22/10^7</f>
        <v>0</v>
      </c>
      <c r="I20" s="29">
        <f>BA!$C22*BA!$D22*BA!I22/10^7</f>
        <v>0</v>
      </c>
      <c r="J20" s="29">
        <f>BA!$C22*BA!$D22*BA!J22/10^7</f>
        <v>0</v>
      </c>
      <c r="K20" s="29">
        <f>BA!$C22*BA!$D22*BA!K22/10^7</f>
        <v>0</v>
      </c>
      <c r="L20" s="29">
        <f>BA!$C22*BA!$D22*BA!L22/10^7</f>
        <v>0</v>
      </c>
      <c r="M20" s="29">
        <f>BA!$C22*BA!$D22*BA!M22/10^7</f>
        <v>0</v>
      </c>
      <c r="N20" s="29">
        <f>BA!$C22*BA!$D22*BA!N22/10^7</f>
        <v>0</v>
      </c>
      <c r="O20" s="29">
        <f>BA!$C22*BA!$D22*BA!O22/10^7</f>
        <v>0</v>
      </c>
    </row>
    <row r="21" spans="2:24" x14ac:dyDescent="0.35">
      <c r="B21" s="3" t="s">
        <v>24</v>
      </c>
      <c r="C21" s="76">
        <f>BA!E23</f>
        <v>44651</v>
      </c>
      <c r="D21" s="3">
        <f t="shared" si="2"/>
        <v>32.408639999999998</v>
      </c>
      <c r="E21" s="29"/>
      <c r="F21" s="29">
        <f>BA!$C23*BA!$D23*BA!F23/10^7</f>
        <v>32.408639999999998</v>
      </c>
      <c r="G21" s="29">
        <f>BA!$C23*BA!$D23*BA!G23/10^7</f>
        <v>0</v>
      </c>
      <c r="H21" s="29">
        <f>BA!$C23*BA!$D23*BA!H23/10^7</f>
        <v>0</v>
      </c>
      <c r="I21" s="29">
        <f>BA!$C23*BA!$D23*BA!I23/10^7</f>
        <v>0</v>
      </c>
      <c r="J21" s="29">
        <f>BA!$C23*BA!$D23*BA!J23/10^7</f>
        <v>0</v>
      </c>
      <c r="K21" s="29">
        <f>BA!$C23*BA!$D23*BA!K23/10^7</f>
        <v>0</v>
      </c>
      <c r="L21" s="29">
        <f>BA!$C23*BA!$D23*BA!L23/10^7</f>
        <v>0</v>
      </c>
      <c r="M21" s="29">
        <f>BA!$C23*BA!$D23*BA!M23/10^7</f>
        <v>0</v>
      </c>
      <c r="N21" s="29">
        <f>BA!$C23*BA!$D23*BA!N23/10^7</f>
        <v>0</v>
      </c>
      <c r="O21" s="29">
        <f>BA!$C23*BA!$D23*BA!O23/10^7</f>
        <v>0</v>
      </c>
    </row>
    <row r="22" spans="2:24" x14ac:dyDescent="0.35">
      <c r="B22" s="3" t="s">
        <v>25</v>
      </c>
      <c r="C22" s="76">
        <f>BA!E24</f>
        <v>44651</v>
      </c>
      <c r="D22" s="3">
        <f t="shared" si="2"/>
        <v>48</v>
      </c>
      <c r="E22" s="29"/>
      <c r="F22" s="29">
        <f>BA!$C24*BA!$D24*BA!F24/10^7</f>
        <v>48</v>
      </c>
      <c r="G22" s="29">
        <f>BA!$C24*BA!$D24*BA!G24/10^7</f>
        <v>0</v>
      </c>
      <c r="H22" s="29">
        <f>BA!$C24*BA!$D24*BA!H24/10^7</f>
        <v>0</v>
      </c>
      <c r="I22" s="29">
        <f>BA!$C24*BA!$D24*BA!I24/10^7</f>
        <v>0</v>
      </c>
      <c r="J22" s="29">
        <f>BA!$C24*BA!$D24*BA!J24/10^7</f>
        <v>0</v>
      </c>
      <c r="K22" s="29">
        <f>BA!$C24*BA!$D24*BA!K24/10^7</f>
        <v>0</v>
      </c>
      <c r="L22" s="29">
        <f>BA!$C24*BA!$D24*BA!L24/10^7</f>
        <v>0</v>
      </c>
      <c r="M22" s="29">
        <f>BA!$C24*BA!$D24*BA!M24/10^7</f>
        <v>0</v>
      </c>
      <c r="N22" s="29">
        <f>BA!$C24*BA!$D24*BA!N24/10^7</f>
        <v>0</v>
      </c>
      <c r="O22" s="29">
        <f>BA!$C24*BA!$D24*BA!O24/10^7</f>
        <v>0</v>
      </c>
    </row>
    <row r="23" spans="2:24" x14ac:dyDescent="0.35">
      <c r="B23" s="3" t="s">
        <v>26</v>
      </c>
      <c r="C23" s="76">
        <f>BA!E25</f>
        <v>45382</v>
      </c>
      <c r="D23" s="3">
        <f t="shared" si="2"/>
        <v>9.6</v>
      </c>
      <c r="E23" s="29"/>
      <c r="F23" s="29">
        <f>BA!$C25*BA!$D25*BA!F25/10^7</f>
        <v>0</v>
      </c>
      <c r="G23" s="29">
        <f>BA!$C25*BA!$D25*BA!G25/10^7</f>
        <v>0</v>
      </c>
      <c r="H23" s="29">
        <f>BA!$C25*BA!$D25*BA!H25/10^7</f>
        <v>9.6</v>
      </c>
      <c r="I23" s="29">
        <f>BA!$C25*BA!$D25*BA!I25/10^7</f>
        <v>0</v>
      </c>
      <c r="J23" s="29">
        <f>BA!$C25*BA!$D25*BA!J25/10^7</f>
        <v>0</v>
      </c>
      <c r="K23" s="29">
        <f>BA!$C25*BA!$D25*BA!K25/10^7</f>
        <v>0</v>
      </c>
      <c r="L23" s="29">
        <f>BA!$C25*BA!$D25*BA!L25/10^7</f>
        <v>0</v>
      </c>
      <c r="M23" s="29">
        <f>BA!$C25*BA!$D25*BA!M25/10^7</f>
        <v>0</v>
      </c>
      <c r="N23" s="29">
        <f>BA!$C25*BA!$D25*BA!N25/10^7</f>
        <v>0</v>
      </c>
      <c r="O23" s="29">
        <f>BA!$C25*BA!$D25*BA!O25/10^7</f>
        <v>0</v>
      </c>
    </row>
    <row r="24" spans="2:24" x14ac:dyDescent="0.35">
      <c r="B24" s="36"/>
      <c r="C24" s="22"/>
      <c r="D24" s="36">
        <f t="shared" si="2"/>
        <v>578.30064000000004</v>
      </c>
      <c r="E24" s="70">
        <f t="shared" ref="E24:O24" si="3">SUM(E17:E23)</f>
        <v>0</v>
      </c>
      <c r="F24" s="70">
        <f t="shared" si="3"/>
        <v>114.00864</v>
      </c>
      <c r="G24" s="70">
        <f t="shared" si="3"/>
        <v>267.3168</v>
      </c>
      <c r="H24" s="70">
        <f t="shared" si="3"/>
        <v>72.8292</v>
      </c>
      <c r="I24" s="70">
        <f t="shared" si="3"/>
        <v>0</v>
      </c>
      <c r="J24" s="70">
        <f t="shared" si="3"/>
        <v>49.6584</v>
      </c>
      <c r="K24" s="70">
        <f t="shared" si="3"/>
        <v>74.4876</v>
      </c>
      <c r="L24" s="70">
        <f t="shared" si="3"/>
        <v>0</v>
      </c>
      <c r="M24" s="70">
        <f t="shared" si="3"/>
        <v>0</v>
      </c>
      <c r="N24" s="70">
        <f t="shared" si="3"/>
        <v>0</v>
      </c>
      <c r="O24" s="70">
        <f t="shared" si="3"/>
        <v>0</v>
      </c>
    </row>
    <row r="25" spans="2:24" x14ac:dyDescent="0.35"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"/>
      <c r="Q25" s="3"/>
    </row>
    <row r="26" spans="2:24" x14ac:dyDescent="0.35">
      <c r="B26" s="43" t="s">
        <v>262</v>
      </c>
      <c r="C26" s="1" t="s">
        <v>79</v>
      </c>
      <c r="D26" s="81" t="s">
        <v>87</v>
      </c>
      <c r="E26" s="196" t="s">
        <v>87</v>
      </c>
      <c r="F26" s="196" t="s">
        <v>87</v>
      </c>
      <c r="G26" s="196" t="s">
        <v>87</v>
      </c>
      <c r="H26" s="196" t="s">
        <v>87</v>
      </c>
      <c r="I26" s="196" t="s">
        <v>87</v>
      </c>
      <c r="J26" s="196" t="s">
        <v>87</v>
      </c>
      <c r="K26" s="196" t="s">
        <v>87</v>
      </c>
      <c r="L26" s="196" t="s">
        <v>87</v>
      </c>
      <c r="M26" s="196" t="s">
        <v>87</v>
      </c>
      <c r="N26" s="196" t="s">
        <v>87</v>
      </c>
      <c r="O26" s="196" t="s">
        <v>87</v>
      </c>
    </row>
    <row r="27" spans="2:24" x14ac:dyDescent="0.35">
      <c r="B27" s="3" t="s">
        <v>20</v>
      </c>
      <c r="C27" s="76">
        <f>BA!E32</f>
        <v>44834</v>
      </c>
      <c r="D27" s="3">
        <f>BA!C32*BA!D32*BA!$C$40</f>
        <v>16.600000000000001</v>
      </c>
      <c r="E27" s="29"/>
      <c r="F27" s="29">
        <f>IF($C27&lt;=F$5,$D27,0)-SUM($E27:E27)</f>
        <v>0</v>
      </c>
      <c r="G27" s="29">
        <f>IF($C27&lt;=G$5,$D27,0)-SUM($E27:F27)</f>
        <v>16.600000000000001</v>
      </c>
      <c r="H27" s="29">
        <f>IF($C27&lt;=H$5,$D27,0)-SUM($E27:G27)</f>
        <v>0</v>
      </c>
      <c r="I27" s="29">
        <f>IF($C27&lt;=I$5,$D27,0)-SUM($E27:H27)</f>
        <v>0</v>
      </c>
      <c r="J27" s="29">
        <f>IF($C27&lt;=J$5,$D27,0)-SUM($E27:I27)</f>
        <v>0</v>
      </c>
      <c r="K27" s="29">
        <f>IF($C27&lt;=K$5,$D27,0)-SUM($E27:J27)</f>
        <v>0</v>
      </c>
      <c r="L27" s="29">
        <f>IF($C27&lt;=L$5,$D27,0)-SUM($E27:K27)</f>
        <v>0</v>
      </c>
      <c r="M27" s="29">
        <f>IF($C27&lt;=M$5,$D27,0)-SUM($E27:L27)</f>
        <v>0</v>
      </c>
      <c r="N27" s="29">
        <f>IF($C27&lt;=N$5,$D27,0)-SUM($E27:M27)</f>
        <v>0</v>
      </c>
      <c r="O27" s="29">
        <f>IF($C27&lt;=O$5,$D27,0)-SUM($E27:N27)</f>
        <v>0</v>
      </c>
      <c r="P27" s="9"/>
      <c r="Q27" s="9"/>
      <c r="R27" s="3"/>
      <c r="S27" s="3"/>
      <c r="T27" s="3"/>
      <c r="U27" s="3"/>
      <c r="V27" s="3"/>
      <c r="W27" s="3"/>
      <c r="X27" s="9"/>
    </row>
    <row r="28" spans="2:24" x14ac:dyDescent="0.35">
      <c r="B28" s="3" t="s">
        <v>21</v>
      </c>
      <c r="C28" s="76">
        <f>BA!E33</f>
        <v>45199</v>
      </c>
      <c r="D28" s="3">
        <f>BA!C33*BA!D33*BA!$C$40</f>
        <v>132.80000000000001</v>
      </c>
      <c r="E28" s="29"/>
      <c r="F28" s="29">
        <f>IF($C28&lt;=F$5,$D28,0)-SUM($E28:E28)</f>
        <v>0</v>
      </c>
      <c r="G28" s="29">
        <f>IF($C28&lt;=G$5,$D28,0)-SUM($E28:F28)</f>
        <v>0</v>
      </c>
      <c r="H28" s="29">
        <f>IF($C28&lt;=H$5,$D28,0)/2-SUM($E28:G28)</f>
        <v>66.400000000000006</v>
      </c>
      <c r="I28" s="29">
        <f>(IF($C28&lt;=I$5,$D28*BA!$C$40,0)-SUM($E28:H28))*0</f>
        <v>0</v>
      </c>
      <c r="J28" s="29">
        <f>(IF($C28&lt;=J$5,$D28*BA!$C$40,0)-SUM($E28:I28))*0</f>
        <v>0</v>
      </c>
      <c r="K28" s="29">
        <f>IF($C28&lt;=K$5,$D28,0)-SUM($E28:J28)</f>
        <v>66.400000000000006</v>
      </c>
      <c r="L28" s="29">
        <f>IF($C28&lt;=L$5,$D28,0)-SUM($E28:K28)</f>
        <v>0</v>
      </c>
      <c r="M28" s="29">
        <f>IF($C28&lt;=M$5,$D28,0)-SUM($E28:L28)</f>
        <v>0</v>
      </c>
      <c r="N28" s="29">
        <f>IF($C28&lt;=N$5,$D28,0)-SUM($E28:M28)</f>
        <v>0</v>
      </c>
      <c r="O28" s="29">
        <f>IF($C28&lt;=O$5,$D28,0)-SUM($E28:N28)</f>
        <v>0</v>
      </c>
      <c r="P28" s="9"/>
      <c r="Q28" s="9"/>
      <c r="R28" s="3"/>
      <c r="S28" s="3"/>
      <c r="T28" s="3"/>
      <c r="U28" s="3"/>
      <c r="V28" s="3"/>
      <c r="W28" s="3"/>
    </row>
    <row r="29" spans="2:24" x14ac:dyDescent="0.35">
      <c r="B29" s="3" t="s">
        <v>22</v>
      </c>
      <c r="C29" s="76">
        <f>BA!E34</f>
        <v>45291</v>
      </c>
      <c r="D29" s="3">
        <f>BA!C34*BA!D34*BA!$C$40</f>
        <v>33.200000000000003</v>
      </c>
      <c r="E29" s="29"/>
      <c r="F29" s="29">
        <f>IF($C29&lt;=F$5,$D29,0)-SUM($E29:E29)</f>
        <v>0</v>
      </c>
      <c r="G29" s="29">
        <f>IF($C29&lt;=G$5,$D29,0)-SUM($E29:F29)</f>
        <v>0</v>
      </c>
      <c r="H29" s="29">
        <f>IF($C29&lt;=H$5,$D29,0)-SUM($E29:G29)</f>
        <v>33.200000000000003</v>
      </c>
      <c r="I29" s="29">
        <f>IF($C29&lt;=I$5,$D29,0)-SUM($E29:H29)</f>
        <v>0</v>
      </c>
      <c r="J29" s="29">
        <f>IF($C29&lt;=J$5,$D29,0)-SUM($E29:I29)</f>
        <v>0</v>
      </c>
      <c r="K29" s="29">
        <f>IF($C29&lt;=K$5,$D29,0)-SUM($E29:J29)</f>
        <v>0</v>
      </c>
      <c r="L29" s="29">
        <f>IF($C29&lt;=L$5,$D29,0)-SUM($E29:K29)</f>
        <v>0</v>
      </c>
      <c r="M29" s="29">
        <f>IF($C29&lt;=M$5,$D29,0)-SUM($E29:L29)</f>
        <v>0</v>
      </c>
      <c r="N29" s="29">
        <f>IF($C29&lt;=N$5,$D29,0)-SUM($E29:M29)</f>
        <v>0</v>
      </c>
      <c r="O29" s="29">
        <f>IF($C29&lt;=O$5,$D29,0)-SUM($E29:N29)</f>
        <v>0</v>
      </c>
      <c r="P29" s="9"/>
      <c r="Q29" s="9"/>
      <c r="R29" s="3"/>
      <c r="S29" s="3"/>
      <c r="T29" s="3"/>
      <c r="U29" s="3"/>
      <c r="V29" s="3"/>
      <c r="W29" s="3"/>
    </row>
    <row r="30" spans="2:24" x14ac:dyDescent="0.35">
      <c r="B30" s="3" t="s">
        <v>23</v>
      </c>
      <c r="C30" s="76">
        <f>BA!E35</f>
        <v>45107</v>
      </c>
      <c r="D30" s="3">
        <f>BA!C35*BA!D35*BA!$C$40</f>
        <v>33.200000000000003</v>
      </c>
      <c r="E30" s="29"/>
      <c r="F30" s="29">
        <f>IF($C30&lt;=F$5,$D30,0)-SUM($E30:E30)</f>
        <v>0</v>
      </c>
      <c r="G30" s="29">
        <f>IF($C30&lt;=G$5,$D30,0)-SUM($E30:F30)</f>
        <v>0</v>
      </c>
      <c r="H30" s="29">
        <f>IF($C30&lt;=H$5,$D30,0)-SUM($E30:G30)</f>
        <v>33.200000000000003</v>
      </c>
      <c r="I30" s="29">
        <f>IF($C30&lt;=I$5,$D30,0)-SUM($E30:H30)</f>
        <v>0</v>
      </c>
      <c r="J30" s="29">
        <f>IF($C30&lt;=J$5,$D30,0)-SUM($E30:I30)</f>
        <v>0</v>
      </c>
      <c r="K30" s="29">
        <f>IF($C30&lt;=K$5,$D30,0)-SUM($E30:J30)</f>
        <v>0</v>
      </c>
      <c r="L30" s="29">
        <f>IF($C30&lt;=L$5,$D30,0)-SUM($E30:K30)</f>
        <v>0</v>
      </c>
      <c r="M30" s="29">
        <f>IF($C30&lt;=M$5,$D30,0)-SUM($E30:L30)</f>
        <v>0</v>
      </c>
      <c r="N30" s="29">
        <f>IF($C30&lt;=N$5,$D30,0)-SUM($E30:M30)</f>
        <v>0</v>
      </c>
      <c r="O30" s="29">
        <f>IF($C30&lt;=O$5,$D30,0)-SUM($E30:N30)</f>
        <v>0</v>
      </c>
      <c r="P30" s="9"/>
      <c r="Q30" s="9"/>
      <c r="R30" s="3"/>
      <c r="S30" s="3"/>
      <c r="T30" s="3"/>
      <c r="U30" s="3"/>
      <c r="V30" s="3"/>
      <c r="W30" s="3"/>
    </row>
    <row r="31" spans="2:24" x14ac:dyDescent="0.35">
      <c r="B31" s="3" t="s">
        <v>24</v>
      </c>
      <c r="C31" s="76">
        <f>BA!E36</f>
        <v>44742</v>
      </c>
      <c r="D31" s="3">
        <f>BA!C36*BA!D36*BA!$C$40</f>
        <v>12.450000000000003</v>
      </c>
      <c r="E31" s="29"/>
      <c r="F31" s="29">
        <f>IF($C31&lt;=F$5,$D31,0)-SUM($E31:E31)</f>
        <v>0</v>
      </c>
      <c r="G31" s="29">
        <f>IF($C31&lt;=G$5,$D31,0)-SUM($E31:F31)</f>
        <v>12.450000000000003</v>
      </c>
      <c r="H31" s="29">
        <f>IF($C31&lt;=H$5,$D31,0)-SUM($E31:G31)</f>
        <v>0</v>
      </c>
      <c r="I31" s="29">
        <f>IF($C31&lt;=I$5,$D31,0)-SUM($E31:H31)</f>
        <v>0</v>
      </c>
      <c r="J31" s="29">
        <f>IF($C31&lt;=J$5,$D31,0)-SUM($E31:I31)</f>
        <v>0</v>
      </c>
      <c r="K31" s="29">
        <f>IF($C31&lt;=K$5,$D31,0)-SUM($E31:J31)</f>
        <v>0</v>
      </c>
      <c r="L31" s="29">
        <f>IF($C31&lt;=L$5,$D31,0)-SUM($E31:K31)</f>
        <v>0</v>
      </c>
      <c r="M31" s="29">
        <f>IF($C31&lt;=M$5,$D31,0)-SUM($E31:L31)</f>
        <v>0</v>
      </c>
      <c r="N31" s="29">
        <f>IF($C31&lt;=N$5,$D31,0)-SUM($E31:M31)</f>
        <v>0</v>
      </c>
      <c r="O31" s="29">
        <f>IF($C31&lt;=O$5,$D31,0)-SUM($E31:N31)</f>
        <v>0</v>
      </c>
      <c r="P31" s="9"/>
      <c r="Q31" s="9"/>
      <c r="R31" s="3"/>
      <c r="S31" s="3"/>
      <c r="T31" s="3"/>
      <c r="U31" s="3"/>
      <c r="V31" s="3"/>
      <c r="W31" s="3"/>
    </row>
    <row r="32" spans="2:24" x14ac:dyDescent="0.35">
      <c r="B32" s="3" t="s">
        <v>25</v>
      </c>
      <c r="C32" s="76">
        <f>BA!E37</f>
        <v>44742</v>
      </c>
      <c r="D32" s="3">
        <f>BA!C37*BA!D37*BA!$C$40</f>
        <v>16.600000000000001</v>
      </c>
      <c r="E32" s="29"/>
      <c r="F32" s="29">
        <f>IF($C32&lt;=F$5,$D32,0)-SUM($E32:E32)</f>
        <v>0</v>
      </c>
      <c r="G32" s="29">
        <f>IF($C32&lt;=G$5,$D32,0)-SUM($E32:F32)</f>
        <v>16.600000000000001</v>
      </c>
      <c r="H32" s="29">
        <f>IF($C32&lt;=H$5,$D32,0)-SUM($E32:G32)</f>
        <v>0</v>
      </c>
      <c r="I32" s="29">
        <f>IF($C32&lt;=I$5,$D32,0)-SUM($E32:H32)</f>
        <v>0</v>
      </c>
      <c r="J32" s="29">
        <f>IF($C32&lt;=J$5,$D32,0)-SUM($E32:I32)</f>
        <v>0</v>
      </c>
      <c r="K32" s="29">
        <f>IF($C32&lt;=K$5,$D32,0)-SUM($E32:J32)</f>
        <v>0</v>
      </c>
      <c r="L32" s="29">
        <f>IF($C32&lt;=L$5,$D32,0)-SUM($E32:K32)</f>
        <v>0</v>
      </c>
      <c r="M32" s="29">
        <f>IF($C32&lt;=M$5,$D32,0)-SUM($E32:L32)</f>
        <v>0</v>
      </c>
      <c r="N32" s="29">
        <f>IF($C32&lt;=N$5,$D32,0)-SUM($E32:M32)</f>
        <v>0</v>
      </c>
      <c r="O32" s="29">
        <f>IF($C32&lt;=O$5,$D32,0)-SUM($E32:N32)</f>
        <v>0</v>
      </c>
      <c r="P32" s="9"/>
      <c r="Q32" s="9"/>
      <c r="R32" s="3"/>
      <c r="S32" s="3"/>
      <c r="T32" s="3"/>
      <c r="U32" s="3"/>
      <c r="V32" s="3"/>
      <c r="W32" s="3"/>
    </row>
    <row r="33" spans="2:23" x14ac:dyDescent="0.35">
      <c r="B33" s="3" t="s">
        <v>26</v>
      </c>
      <c r="C33" s="76">
        <f>BA!E38</f>
        <v>45473</v>
      </c>
      <c r="D33" s="3">
        <f>BA!C38*BA!D38*BA!$C$40</f>
        <v>3.3200000000000003</v>
      </c>
      <c r="E33" s="29"/>
      <c r="F33" s="29">
        <f>IF($C33&lt;=F$5,$D33,0)-SUM($E33:E33)</f>
        <v>0</v>
      </c>
      <c r="G33" s="29">
        <f>IF($C33&lt;=G$5,$D33,0)-SUM($E33:F33)</f>
        <v>0</v>
      </c>
      <c r="H33" s="29">
        <f>IF($C33&lt;=H$5,$D33,0)-SUM($E33:G33)</f>
        <v>0</v>
      </c>
      <c r="I33" s="29">
        <f>IF($C33&lt;=I$5,$D33,0)-SUM($E33:H33)</f>
        <v>3.3200000000000003</v>
      </c>
      <c r="J33" s="29">
        <f>IF($C33&lt;=J$5,$D33,0)-SUM($E33:I33)</f>
        <v>0</v>
      </c>
      <c r="K33" s="29">
        <f>IF($C33&lt;=K$5,$D33,0)-SUM($E33:J33)</f>
        <v>0</v>
      </c>
      <c r="L33" s="29">
        <f>IF($C33&lt;=L$5,$D33,0)-SUM($E33:K33)</f>
        <v>0</v>
      </c>
      <c r="M33" s="29">
        <f>IF($C33&lt;=M$5,$D33,0)-SUM($E33:L33)</f>
        <v>0</v>
      </c>
      <c r="N33" s="29">
        <f>IF($C33&lt;=N$5,$D33,0)-SUM($E33:M33)</f>
        <v>0</v>
      </c>
      <c r="O33" s="29">
        <f>IF($C33&lt;=O$5,$D33,0)-SUM($E33:N33)</f>
        <v>0</v>
      </c>
      <c r="P33" s="9"/>
      <c r="Q33" s="9"/>
      <c r="R33" s="3"/>
      <c r="S33" s="3"/>
      <c r="T33" s="3"/>
      <c r="U33" s="3"/>
      <c r="V33" s="3"/>
      <c r="W33" s="3"/>
    </row>
    <row r="34" spans="2:23" x14ac:dyDescent="0.35">
      <c r="C34" s="76"/>
      <c r="D34" s="3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9"/>
      <c r="Q34" s="9"/>
      <c r="R34" s="3"/>
      <c r="S34" s="3"/>
      <c r="T34" s="3"/>
      <c r="U34" s="3"/>
      <c r="V34" s="3"/>
      <c r="W34" s="3"/>
    </row>
    <row r="35" spans="2:23" x14ac:dyDescent="0.35">
      <c r="B35" s="43" t="s">
        <v>263</v>
      </c>
      <c r="C35" s="76"/>
      <c r="D35" s="3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9"/>
      <c r="Q35" s="9"/>
      <c r="R35" s="3"/>
      <c r="S35" s="3"/>
      <c r="T35" s="3"/>
      <c r="U35" s="3"/>
      <c r="V35" s="3"/>
      <c r="W35" s="3"/>
    </row>
    <row r="36" spans="2:23" x14ac:dyDescent="0.35">
      <c r="B36" s="3" t="s">
        <v>20</v>
      </c>
      <c r="C36" s="76"/>
      <c r="D36" s="3">
        <f>BA!C32*BA!D32*(1-BA!$C$40)</f>
        <v>149.4</v>
      </c>
      <c r="E36" s="29"/>
      <c r="F36" s="29">
        <f>$D36/BA!$C32*BA!F32</f>
        <v>0</v>
      </c>
      <c r="G36" s="29">
        <f>$D36/BA!$C32*BA!G32</f>
        <v>74.7</v>
      </c>
      <c r="H36" s="29">
        <f>$D36/BA!$C32*BA!H32</f>
        <v>74.7</v>
      </c>
      <c r="I36" s="29">
        <f>$D36/BA!$C32*BA!I32</f>
        <v>0</v>
      </c>
      <c r="J36" s="29">
        <f>$D36/BA!$C32*BA!J32</f>
        <v>0</v>
      </c>
      <c r="K36" s="29">
        <f>$D36/BA!$C32*BA!K32</f>
        <v>0</v>
      </c>
      <c r="L36" s="29">
        <f>$D36/BA!$C32*BA!L32</f>
        <v>0</v>
      </c>
      <c r="M36" s="29">
        <f>$D36/BA!$C32*BA!M32</f>
        <v>0</v>
      </c>
      <c r="N36" s="29">
        <f>$D36/BA!$C32*BA!N32</f>
        <v>0</v>
      </c>
      <c r="O36" s="29">
        <f>$D36/BA!$C32*BA!O32</f>
        <v>0</v>
      </c>
      <c r="P36" s="9"/>
      <c r="Q36" s="9"/>
      <c r="R36" s="3"/>
      <c r="S36" s="3"/>
      <c r="T36" s="3"/>
      <c r="U36" s="3"/>
      <c r="V36" s="3"/>
      <c r="W36" s="3"/>
    </row>
    <row r="37" spans="2:23" x14ac:dyDescent="0.35">
      <c r="B37" s="3" t="s">
        <v>21</v>
      </c>
      <c r="C37" s="76"/>
      <c r="D37" s="3">
        <f>BA!C33*BA!D33*(1-BA!$C$40)</f>
        <v>1195.2</v>
      </c>
      <c r="E37" s="29"/>
      <c r="F37" s="29">
        <f>$D37/BA!$C33*BA!F33</f>
        <v>0</v>
      </c>
      <c r="G37" s="29">
        <f>$D37/BA!$C33*BA!G33</f>
        <v>0</v>
      </c>
      <c r="H37" s="29">
        <f>$D37/BA!$C33*BA!H33</f>
        <v>239.04000000000002</v>
      </c>
      <c r="I37" s="29">
        <f>$D37/BA!$C33*BA!I33</f>
        <v>239.04000000000002</v>
      </c>
      <c r="J37" s="29">
        <f>$D37/BA!$C33*BA!J33</f>
        <v>239.04000000000002</v>
      </c>
      <c r="K37" s="29">
        <f>$D37/BA!$C33*BA!K33</f>
        <v>239.04000000000002</v>
      </c>
      <c r="L37" s="29">
        <f>$D37/BA!$C33*BA!L33</f>
        <v>239.04000000000002</v>
      </c>
      <c r="M37" s="29">
        <f>$D37/BA!$C33*BA!M33</f>
        <v>0</v>
      </c>
      <c r="N37" s="29">
        <f>$D37/BA!$C33*BA!N33</f>
        <v>0</v>
      </c>
      <c r="O37" s="29">
        <f>$D37/BA!$C33*BA!O33</f>
        <v>0</v>
      </c>
      <c r="P37" s="9"/>
      <c r="Q37" s="9"/>
      <c r="R37" s="3"/>
      <c r="S37" s="3"/>
      <c r="T37" s="3"/>
      <c r="U37" s="3"/>
      <c r="V37" s="3"/>
      <c r="W37" s="3"/>
    </row>
    <row r="38" spans="2:23" x14ac:dyDescent="0.35">
      <c r="B38" s="3" t="s">
        <v>22</v>
      </c>
      <c r="C38" s="76"/>
      <c r="D38" s="3">
        <f>BA!C34*BA!D34*(1-BA!$C$40)</f>
        <v>298.8</v>
      </c>
      <c r="E38" s="29"/>
      <c r="F38" s="29">
        <f>$D38/BA!$C34*BA!F34</f>
        <v>0</v>
      </c>
      <c r="G38" s="29">
        <f>$D38/BA!$C34*BA!G34</f>
        <v>0</v>
      </c>
      <c r="H38" s="29">
        <f>$D38/BA!$C34*BA!H34</f>
        <v>59.760000000000005</v>
      </c>
      <c r="I38" s="29">
        <f>$D38/BA!$C34*BA!I34</f>
        <v>59.760000000000005</v>
      </c>
      <c r="J38" s="29">
        <f>$D38/BA!$C34*BA!J34</f>
        <v>59.760000000000005</v>
      </c>
      <c r="K38" s="29">
        <f>$D38/BA!$C34*BA!K34</f>
        <v>59.760000000000005</v>
      </c>
      <c r="L38" s="29">
        <f>$D38/BA!$C34*BA!L34</f>
        <v>59.760000000000005</v>
      </c>
      <c r="M38" s="29">
        <f>$D38/BA!$C34*BA!M34</f>
        <v>0</v>
      </c>
      <c r="N38" s="29">
        <f>$D38/BA!$C34*BA!N34</f>
        <v>0</v>
      </c>
      <c r="O38" s="29">
        <f>$D38/BA!$C34*BA!O34</f>
        <v>0</v>
      </c>
      <c r="P38" s="9"/>
      <c r="Q38" s="9"/>
      <c r="R38" s="3"/>
      <c r="S38" s="3"/>
      <c r="T38" s="3"/>
      <c r="U38" s="3"/>
      <c r="V38" s="3"/>
      <c r="W38" s="3"/>
    </row>
    <row r="39" spans="2:23" x14ac:dyDescent="0.35">
      <c r="B39" s="3" t="s">
        <v>23</v>
      </c>
      <c r="C39" s="76"/>
      <c r="D39" s="3">
        <f>BA!C35*BA!D35*(1-BA!$C$40)</f>
        <v>298.8</v>
      </c>
      <c r="E39" s="29"/>
      <c r="F39" s="29">
        <f>$D39/BA!$C35*BA!F35</f>
        <v>0</v>
      </c>
      <c r="G39" s="29">
        <f>$D39/BA!$C35*BA!G35</f>
        <v>0</v>
      </c>
      <c r="H39" s="29">
        <f>$D39/BA!$C35*BA!H35</f>
        <v>59.760000000000005</v>
      </c>
      <c r="I39" s="29">
        <f>$D39/BA!$C35*BA!I35</f>
        <v>59.760000000000005</v>
      </c>
      <c r="J39" s="29">
        <f>$D39/BA!$C35*BA!J35</f>
        <v>59.760000000000005</v>
      </c>
      <c r="K39" s="29">
        <f>$D39/BA!$C35*BA!K35</f>
        <v>59.760000000000005</v>
      </c>
      <c r="L39" s="29">
        <f>$D39/BA!$C35*BA!L35</f>
        <v>59.760000000000005</v>
      </c>
      <c r="M39" s="29">
        <f>$D39/BA!$C35*BA!M35</f>
        <v>0</v>
      </c>
      <c r="N39" s="29">
        <f>$D39/BA!$C35*BA!N35</f>
        <v>0</v>
      </c>
      <c r="O39" s="29">
        <f>$D39/BA!$C35*BA!O35</f>
        <v>0</v>
      </c>
      <c r="P39" s="9"/>
      <c r="Q39" s="9"/>
      <c r="R39" s="3"/>
      <c r="S39" s="3"/>
      <c r="T39" s="3"/>
      <c r="U39" s="3"/>
      <c r="V39" s="3"/>
      <c r="W39" s="3"/>
    </row>
    <row r="40" spans="2:23" x14ac:dyDescent="0.35">
      <c r="B40" s="3" t="s">
        <v>24</v>
      </c>
      <c r="C40" s="76"/>
      <c r="D40" s="3">
        <f>BA!C36*BA!D36*(1-BA!$C$40)</f>
        <v>112.05000000000001</v>
      </c>
      <c r="E40" s="29"/>
      <c r="F40" s="29">
        <f>$D40/BA!$C36*BA!F36</f>
        <v>0</v>
      </c>
      <c r="G40" s="29">
        <f>$D40/BA!$C36*BA!G36</f>
        <v>37.35</v>
      </c>
      <c r="H40" s="29">
        <f>$D40/BA!$C36*BA!H36</f>
        <v>37.35</v>
      </c>
      <c r="I40" s="29">
        <f>$D40/BA!$C36*BA!I36</f>
        <v>37.35</v>
      </c>
      <c r="J40" s="29">
        <f>$D40/BA!$C36*BA!J36</f>
        <v>0</v>
      </c>
      <c r="K40" s="29">
        <f>$D40/BA!$C36*BA!K36</f>
        <v>0</v>
      </c>
      <c r="L40" s="29">
        <f>$D40/BA!$C36*BA!L36</f>
        <v>0</v>
      </c>
      <c r="M40" s="29">
        <f>$D40/BA!$C36*BA!M36</f>
        <v>0</v>
      </c>
      <c r="N40" s="29">
        <f>$D40/BA!$C36*BA!N36</f>
        <v>0</v>
      </c>
      <c r="O40" s="29">
        <f>$D40/BA!$C36*BA!O36</f>
        <v>0</v>
      </c>
      <c r="P40" s="9"/>
      <c r="Q40" s="9"/>
      <c r="R40" s="3"/>
      <c r="S40" s="3"/>
      <c r="T40" s="3"/>
      <c r="U40" s="3"/>
      <c r="V40" s="3"/>
      <c r="W40" s="3"/>
    </row>
    <row r="41" spans="2:23" x14ac:dyDescent="0.35">
      <c r="B41" s="3" t="s">
        <v>25</v>
      </c>
      <c r="C41" s="76"/>
      <c r="D41" s="3">
        <f>BA!C37*BA!D37*(1-BA!$C$40)</f>
        <v>149.4</v>
      </c>
      <c r="E41" s="29"/>
      <c r="F41" s="29">
        <f>$D41/BA!$C37*BA!F37</f>
        <v>0</v>
      </c>
      <c r="G41" s="29">
        <f>$D41/BA!$C37*BA!G37</f>
        <v>37.35</v>
      </c>
      <c r="H41" s="29">
        <f>$D41/BA!$C37*BA!H37</f>
        <v>37.35</v>
      </c>
      <c r="I41" s="29">
        <f>$D41/BA!$C37*BA!I37</f>
        <v>37.35</v>
      </c>
      <c r="J41" s="29">
        <f>$D41/BA!$C37*BA!J37</f>
        <v>37.35</v>
      </c>
      <c r="K41" s="29">
        <f>$D41/BA!$C37*BA!K37</f>
        <v>0</v>
      </c>
      <c r="L41" s="29">
        <f>$D41/BA!$C37*BA!L37</f>
        <v>0</v>
      </c>
      <c r="M41" s="29">
        <f>$D41/BA!$C37*BA!M37</f>
        <v>0</v>
      </c>
      <c r="N41" s="29">
        <f>$D41/BA!$C37*BA!N37</f>
        <v>0</v>
      </c>
      <c r="O41" s="29">
        <f>$D41/BA!$C37*BA!O37</f>
        <v>0</v>
      </c>
      <c r="P41" s="9"/>
      <c r="Q41" s="9"/>
      <c r="R41" s="3"/>
      <c r="S41" s="3"/>
      <c r="T41" s="3"/>
      <c r="U41" s="3"/>
      <c r="V41" s="3"/>
      <c r="W41" s="3"/>
    </row>
    <row r="42" spans="2:23" x14ac:dyDescent="0.35">
      <c r="B42" s="3" t="s">
        <v>26</v>
      </c>
      <c r="C42" s="76"/>
      <c r="D42" s="3">
        <f>BA!C38*BA!D38*(1-BA!$C$40)</f>
        <v>29.880000000000003</v>
      </c>
      <c r="E42" s="29"/>
      <c r="F42" s="29">
        <f>$D42/BA!$C38*BA!F38</f>
        <v>0</v>
      </c>
      <c r="G42" s="29">
        <f>$D42/BA!$C38*BA!G38</f>
        <v>0</v>
      </c>
      <c r="H42" s="29">
        <f>$D42/BA!$C38*BA!H38</f>
        <v>0</v>
      </c>
      <c r="I42" s="29">
        <f>$D42/BA!$C38*BA!I38</f>
        <v>14.940000000000001</v>
      </c>
      <c r="J42" s="29">
        <f>$D42/BA!$C38*BA!J38</f>
        <v>14.940000000000001</v>
      </c>
      <c r="K42" s="29">
        <f>$D42/BA!$C38*BA!K38</f>
        <v>0</v>
      </c>
      <c r="L42" s="29">
        <f>$D42/BA!$C38*BA!L38</f>
        <v>0</v>
      </c>
      <c r="M42" s="29">
        <f>$D42/BA!$C38*BA!M38</f>
        <v>0</v>
      </c>
      <c r="N42" s="29">
        <f>$D42/BA!$C38*BA!N38</f>
        <v>0</v>
      </c>
      <c r="O42" s="29">
        <f>$D42/BA!$C38*BA!O38</f>
        <v>0</v>
      </c>
      <c r="P42" s="9"/>
      <c r="Q42" s="9"/>
      <c r="R42" s="3"/>
      <c r="S42" s="3"/>
      <c r="T42" s="3"/>
      <c r="U42" s="3"/>
      <c r="V42" s="3"/>
      <c r="W42" s="3"/>
    </row>
    <row r="43" spans="2:23" x14ac:dyDescent="0.35">
      <c r="B43" s="36"/>
      <c r="C43" s="22"/>
      <c r="D43" s="36">
        <f t="shared" ref="D43" si="4">SUM(E43:O43)</f>
        <v>2481.7000000000003</v>
      </c>
      <c r="E43" s="70"/>
      <c r="F43" s="70">
        <f>SUM(F27:F42)</f>
        <v>0</v>
      </c>
      <c r="G43" s="70">
        <f>SUM(G27:G42)</f>
        <v>195.05</v>
      </c>
      <c r="H43" s="70">
        <f t="shared" ref="H43:O43" si="5">SUM(H27:H42)</f>
        <v>640.7600000000001</v>
      </c>
      <c r="I43" s="70">
        <f t="shared" si="5"/>
        <v>451.52000000000004</v>
      </c>
      <c r="J43" s="70">
        <f t="shared" si="5"/>
        <v>410.85</v>
      </c>
      <c r="K43" s="70">
        <f t="shared" si="5"/>
        <v>424.96000000000004</v>
      </c>
      <c r="L43" s="70">
        <f t="shared" si="5"/>
        <v>358.56</v>
      </c>
      <c r="M43" s="70">
        <f t="shared" si="5"/>
        <v>0</v>
      </c>
      <c r="N43" s="70">
        <f t="shared" si="5"/>
        <v>0</v>
      </c>
      <c r="O43" s="70">
        <f t="shared" si="5"/>
        <v>0</v>
      </c>
    </row>
    <row r="44" spans="2:23" x14ac:dyDescent="0.35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2:23" x14ac:dyDescent="0.35">
      <c r="B45" s="43" t="s">
        <v>89</v>
      </c>
      <c r="D45" s="81" t="s">
        <v>87</v>
      </c>
      <c r="E45" s="196" t="s">
        <v>87</v>
      </c>
      <c r="F45" s="196" t="s">
        <v>87</v>
      </c>
      <c r="G45" s="196" t="s">
        <v>87</v>
      </c>
      <c r="H45" s="196" t="s">
        <v>87</v>
      </c>
      <c r="I45" s="196" t="s">
        <v>87</v>
      </c>
      <c r="J45" s="196" t="s">
        <v>87</v>
      </c>
      <c r="K45" s="196" t="s">
        <v>87</v>
      </c>
      <c r="L45" s="196" t="s">
        <v>87</v>
      </c>
      <c r="M45" s="196" t="s">
        <v>87</v>
      </c>
      <c r="N45" s="196" t="s">
        <v>87</v>
      </c>
      <c r="O45" s="196" t="s">
        <v>87</v>
      </c>
    </row>
    <row r="46" spans="2:23" x14ac:dyDescent="0.35">
      <c r="B46" s="3" t="s">
        <v>20</v>
      </c>
      <c r="D46" s="9">
        <f>D7+D17+D27+D36</f>
        <v>233.81</v>
      </c>
      <c r="E46" s="29">
        <f>E7+E17+E27+E36</f>
        <v>19.809999999999999</v>
      </c>
      <c r="F46" s="29">
        <f t="shared" ref="F46:O46" si="6">F7+F17+F27+F36</f>
        <v>33.6</v>
      </c>
      <c r="G46" s="29">
        <f t="shared" si="6"/>
        <v>105.7</v>
      </c>
      <c r="H46" s="29">
        <f t="shared" si="6"/>
        <v>74.7</v>
      </c>
      <c r="I46" s="29">
        <f t="shared" si="6"/>
        <v>0</v>
      </c>
      <c r="J46" s="29">
        <f t="shared" si="6"/>
        <v>0</v>
      </c>
      <c r="K46" s="29">
        <f t="shared" si="6"/>
        <v>0</v>
      </c>
      <c r="L46" s="29">
        <f t="shared" si="6"/>
        <v>0</v>
      </c>
      <c r="M46" s="29">
        <f t="shared" si="6"/>
        <v>0</v>
      </c>
      <c r="N46" s="29">
        <f t="shared" si="6"/>
        <v>0</v>
      </c>
      <c r="O46" s="29">
        <f t="shared" si="6"/>
        <v>0</v>
      </c>
      <c r="P46" s="9"/>
    </row>
    <row r="47" spans="2:23" x14ac:dyDescent="0.35">
      <c r="B47" s="3" t="s">
        <v>21</v>
      </c>
      <c r="D47" s="9">
        <f t="shared" ref="D47:D52" si="7">D8+D18+D28+D37</f>
        <v>1690.2919999999999</v>
      </c>
      <c r="E47" s="29">
        <f t="shared" ref="E47:O52" si="8">E8+E18+E28+E37</f>
        <v>9.84</v>
      </c>
      <c r="F47" s="29">
        <f t="shared" si="8"/>
        <v>92.16</v>
      </c>
      <c r="G47" s="29">
        <f t="shared" si="8"/>
        <v>111.3168</v>
      </c>
      <c r="H47" s="29">
        <f t="shared" si="8"/>
        <v>330.26920000000001</v>
      </c>
      <c r="I47" s="29">
        <f t="shared" si="8"/>
        <v>239.04000000000002</v>
      </c>
      <c r="J47" s="29">
        <f t="shared" si="8"/>
        <v>288.69839999999999</v>
      </c>
      <c r="K47" s="29">
        <f t="shared" si="8"/>
        <v>379.92760000000004</v>
      </c>
      <c r="L47" s="29">
        <f t="shared" si="8"/>
        <v>239.04000000000002</v>
      </c>
      <c r="M47" s="29">
        <f t="shared" si="8"/>
        <v>0</v>
      </c>
      <c r="N47" s="29">
        <f t="shared" si="8"/>
        <v>0</v>
      </c>
      <c r="O47" s="29">
        <f t="shared" si="8"/>
        <v>0</v>
      </c>
    </row>
    <row r="48" spans="2:23" x14ac:dyDescent="0.35">
      <c r="B48" s="3" t="s">
        <v>22</v>
      </c>
      <c r="D48" s="9">
        <f t="shared" si="7"/>
        <v>498</v>
      </c>
      <c r="E48" s="29">
        <f t="shared" si="8"/>
        <v>0</v>
      </c>
      <c r="F48" s="29">
        <f t="shared" si="8"/>
        <v>70</v>
      </c>
      <c r="G48" s="29">
        <f t="shared" si="8"/>
        <v>57.6</v>
      </c>
      <c r="H48" s="29">
        <f t="shared" si="8"/>
        <v>131.36000000000001</v>
      </c>
      <c r="I48" s="29">
        <f t="shared" si="8"/>
        <v>59.760000000000005</v>
      </c>
      <c r="J48" s="29">
        <f t="shared" si="8"/>
        <v>59.760000000000005</v>
      </c>
      <c r="K48" s="29">
        <f t="shared" si="8"/>
        <v>59.760000000000005</v>
      </c>
      <c r="L48" s="29">
        <f t="shared" si="8"/>
        <v>59.760000000000005</v>
      </c>
      <c r="M48" s="29">
        <f t="shared" si="8"/>
        <v>0</v>
      </c>
      <c r="N48" s="29">
        <f t="shared" si="8"/>
        <v>0</v>
      </c>
      <c r="O48" s="29">
        <f t="shared" si="8"/>
        <v>0</v>
      </c>
    </row>
    <row r="49" spans="2:18" x14ac:dyDescent="0.35">
      <c r="B49" s="3" t="s">
        <v>23</v>
      </c>
      <c r="D49" s="9">
        <f t="shared" si="7"/>
        <v>459.71850000000001</v>
      </c>
      <c r="E49" s="29">
        <f t="shared" si="8"/>
        <v>31.718499999999999</v>
      </c>
      <c r="F49" s="29">
        <f t="shared" si="8"/>
        <v>0</v>
      </c>
      <c r="G49" s="29">
        <f t="shared" si="8"/>
        <v>96</v>
      </c>
      <c r="H49" s="29">
        <f t="shared" si="8"/>
        <v>92.960000000000008</v>
      </c>
      <c r="I49" s="29">
        <f t="shared" si="8"/>
        <v>59.760000000000005</v>
      </c>
      <c r="J49" s="29">
        <f t="shared" si="8"/>
        <v>59.760000000000005</v>
      </c>
      <c r="K49" s="29">
        <f t="shared" si="8"/>
        <v>59.760000000000005</v>
      </c>
      <c r="L49" s="29">
        <f t="shared" si="8"/>
        <v>59.760000000000005</v>
      </c>
      <c r="M49" s="29">
        <f t="shared" si="8"/>
        <v>0</v>
      </c>
      <c r="N49" s="29">
        <f t="shared" si="8"/>
        <v>0</v>
      </c>
      <c r="O49" s="29">
        <f t="shared" si="8"/>
        <v>0</v>
      </c>
    </row>
    <row r="50" spans="2:18" x14ac:dyDescent="0.35">
      <c r="B50" s="3" t="s">
        <v>24</v>
      </c>
      <c r="D50" s="9">
        <f t="shared" si="7"/>
        <v>189.64464000000004</v>
      </c>
      <c r="E50" s="29">
        <f t="shared" si="8"/>
        <v>0</v>
      </c>
      <c r="F50" s="29">
        <f t="shared" si="8"/>
        <v>65.14464000000001</v>
      </c>
      <c r="G50" s="29">
        <f t="shared" si="8"/>
        <v>49.800000000000004</v>
      </c>
      <c r="H50" s="29">
        <f t="shared" si="8"/>
        <v>37.35</v>
      </c>
      <c r="I50" s="29">
        <f t="shared" si="8"/>
        <v>37.35</v>
      </c>
      <c r="J50" s="29">
        <f t="shared" si="8"/>
        <v>0</v>
      </c>
      <c r="K50" s="29">
        <f t="shared" si="8"/>
        <v>0</v>
      </c>
      <c r="L50" s="29">
        <f t="shared" si="8"/>
        <v>0</v>
      </c>
      <c r="M50" s="29">
        <f t="shared" si="8"/>
        <v>0</v>
      </c>
      <c r="N50" s="29">
        <f t="shared" si="8"/>
        <v>0</v>
      </c>
      <c r="O50" s="29">
        <f t="shared" si="8"/>
        <v>0</v>
      </c>
    </row>
    <row r="51" spans="2:18" x14ac:dyDescent="0.35">
      <c r="B51" s="3" t="s">
        <v>25</v>
      </c>
      <c r="D51" s="9">
        <f t="shared" si="7"/>
        <v>259</v>
      </c>
      <c r="E51" s="29">
        <f t="shared" si="8"/>
        <v>0</v>
      </c>
      <c r="F51" s="29">
        <f t="shared" si="8"/>
        <v>93</v>
      </c>
      <c r="G51" s="29">
        <f t="shared" si="8"/>
        <v>53.95</v>
      </c>
      <c r="H51" s="29">
        <f t="shared" si="8"/>
        <v>37.35</v>
      </c>
      <c r="I51" s="29">
        <f t="shared" si="8"/>
        <v>37.35</v>
      </c>
      <c r="J51" s="29">
        <f t="shared" si="8"/>
        <v>37.35</v>
      </c>
      <c r="K51" s="29">
        <f t="shared" si="8"/>
        <v>0</v>
      </c>
      <c r="L51" s="29">
        <f t="shared" si="8"/>
        <v>0</v>
      </c>
      <c r="M51" s="29">
        <f t="shared" si="8"/>
        <v>0</v>
      </c>
      <c r="N51" s="29">
        <f t="shared" si="8"/>
        <v>0</v>
      </c>
      <c r="O51" s="29">
        <f t="shared" si="8"/>
        <v>0</v>
      </c>
    </row>
    <row r="52" spans="2:18" x14ac:dyDescent="0.35">
      <c r="B52" s="3" t="s">
        <v>26</v>
      </c>
      <c r="D52" s="9">
        <f t="shared" si="7"/>
        <v>52.800000000000004</v>
      </c>
      <c r="E52" s="29">
        <f t="shared" si="8"/>
        <v>0</v>
      </c>
      <c r="F52" s="29">
        <f t="shared" si="8"/>
        <v>10</v>
      </c>
      <c r="G52" s="29">
        <f t="shared" si="8"/>
        <v>0</v>
      </c>
      <c r="H52" s="29">
        <f t="shared" si="8"/>
        <v>9.6</v>
      </c>
      <c r="I52" s="29">
        <f t="shared" si="8"/>
        <v>18.260000000000002</v>
      </c>
      <c r="J52" s="29">
        <f t="shared" si="8"/>
        <v>14.940000000000001</v>
      </c>
      <c r="K52" s="29">
        <f t="shared" si="8"/>
        <v>0</v>
      </c>
      <c r="L52" s="29">
        <f t="shared" si="8"/>
        <v>0</v>
      </c>
      <c r="M52" s="29">
        <f t="shared" si="8"/>
        <v>0</v>
      </c>
      <c r="N52" s="29">
        <f t="shared" si="8"/>
        <v>0</v>
      </c>
      <c r="O52" s="29">
        <f t="shared" si="8"/>
        <v>0</v>
      </c>
    </row>
    <row r="53" spans="2:18" x14ac:dyDescent="0.35">
      <c r="B53" s="36"/>
      <c r="C53" s="22"/>
      <c r="D53" s="69">
        <f t="shared" ref="D53:O53" si="9">SUM(D46:D52)</f>
        <v>3383.26514</v>
      </c>
      <c r="E53" s="70">
        <f t="shared" si="9"/>
        <v>61.368499999999997</v>
      </c>
      <c r="F53" s="70">
        <f t="shared" si="9"/>
        <v>363.90463999999997</v>
      </c>
      <c r="G53" s="70">
        <f t="shared" si="9"/>
        <v>474.36680000000001</v>
      </c>
      <c r="H53" s="70">
        <f t="shared" si="9"/>
        <v>713.58920000000012</v>
      </c>
      <c r="I53" s="70">
        <f t="shared" si="9"/>
        <v>451.52000000000004</v>
      </c>
      <c r="J53" s="70">
        <f t="shared" si="9"/>
        <v>460.50839999999999</v>
      </c>
      <c r="K53" s="70">
        <f t="shared" si="9"/>
        <v>499.44760000000002</v>
      </c>
      <c r="L53" s="70">
        <f t="shared" si="9"/>
        <v>358.56</v>
      </c>
      <c r="M53" s="70">
        <f t="shared" si="9"/>
        <v>0</v>
      </c>
      <c r="N53" s="70">
        <f t="shared" si="9"/>
        <v>0</v>
      </c>
      <c r="O53" s="70">
        <f t="shared" si="9"/>
        <v>0</v>
      </c>
    </row>
    <row r="54" spans="2:18" x14ac:dyDescent="0.35">
      <c r="D54" s="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18" x14ac:dyDescent="0.35">
      <c r="B55" s="43" t="s">
        <v>37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2:18" x14ac:dyDescent="0.35">
      <c r="B56" s="58" t="s">
        <v>17</v>
      </c>
      <c r="C56" s="26"/>
      <c r="D56" s="26"/>
      <c r="E56" s="112">
        <v>44469</v>
      </c>
      <c r="F56" s="112">
        <v>44651</v>
      </c>
      <c r="G56" s="112">
        <v>45016</v>
      </c>
      <c r="H56" s="112">
        <v>45382</v>
      </c>
      <c r="I56" s="112">
        <v>45747</v>
      </c>
      <c r="J56" s="112">
        <v>46112</v>
      </c>
      <c r="K56" s="112">
        <v>46477</v>
      </c>
      <c r="L56" s="112">
        <v>46843</v>
      </c>
      <c r="M56" s="112">
        <v>47208</v>
      </c>
      <c r="N56" s="112">
        <v>47573</v>
      </c>
      <c r="O56" s="112">
        <v>47938</v>
      </c>
    </row>
    <row r="57" spans="2:18" x14ac:dyDescent="0.35">
      <c r="B57" s="32"/>
      <c r="C57" s="40"/>
      <c r="D57" s="40"/>
      <c r="E57" s="197"/>
      <c r="F57" s="197"/>
      <c r="G57" s="197"/>
      <c r="H57" s="197"/>
      <c r="I57" s="197"/>
      <c r="J57" s="197"/>
      <c r="K57" s="197"/>
      <c r="L57" s="197"/>
      <c r="M57" s="29"/>
      <c r="N57" s="29"/>
      <c r="O57" s="29"/>
    </row>
    <row r="58" spans="2:18" x14ac:dyDescent="0.35">
      <c r="B58" s="82" t="s">
        <v>82</v>
      </c>
      <c r="C58" s="80" t="s">
        <v>79</v>
      </c>
      <c r="D58" s="92" t="s">
        <v>27</v>
      </c>
      <c r="E58" s="196" t="s">
        <v>87</v>
      </c>
      <c r="F58" s="196" t="s">
        <v>87</v>
      </c>
      <c r="G58" s="196" t="s">
        <v>87</v>
      </c>
      <c r="H58" s="196" t="s">
        <v>87</v>
      </c>
      <c r="I58" s="196" t="s">
        <v>87</v>
      </c>
      <c r="J58" s="196" t="s">
        <v>87</v>
      </c>
      <c r="K58" s="196" t="s">
        <v>87</v>
      </c>
      <c r="L58" s="196" t="s">
        <v>87</v>
      </c>
      <c r="M58" s="196" t="s">
        <v>87</v>
      </c>
      <c r="N58" s="196" t="s">
        <v>87</v>
      </c>
      <c r="O58" s="196" t="s">
        <v>87</v>
      </c>
      <c r="R58" s="32"/>
    </row>
    <row r="59" spans="2:18" x14ac:dyDescent="0.35">
      <c r="B59" s="3" t="s">
        <v>20</v>
      </c>
      <c r="C59" s="76">
        <f>BA!E19</f>
        <v>44742</v>
      </c>
      <c r="D59" s="78">
        <v>9.5000000000000001E-2</v>
      </c>
      <c r="E59" s="197"/>
      <c r="F59" s="29">
        <f>MAX(IF(F$56-$C59&lt;365,(SUM($E17:F17)-SUM($E59:E59))*$D59*(F$56-$C59)/365,((SUM($E17:F17)-SUM($E59:E59))*$D59)),0)</f>
        <v>0</v>
      </c>
      <c r="G59" s="29">
        <f>MAX(IF(G$56-$C59&lt;365,(SUM($E17:G17)-SUM($E59:F59))*$D59*(G$56-$C59)/365,((SUM($E17:G17)-SUM($E59:F59))*$D59)),0)</f>
        <v>3.423123287671233</v>
      </c>
      <c r="H59" s="29">
        <f>MAX(IF(H$56-$C59&lt;365,(SUM($E17:H17)-SUM($E59:G59))*$D59*(H$56-$C59)/365,((SUM($E17:H17)-SUM($E59:G59))*$D59)),0)</f>
        <v>4.2348032876712329</v>
      </c>
      <c r="I59" s="29">
        <f>MAX(IF(I$56-$C59&lt;365,(SUM($E17:I17)-SUM($E59:H59))*$D59*(I$56-$C59)/365,((SUM($E17:I17)-SUM($E59:H59))*$D59)),0)</f>
        <v>3.8324969753424658</v>
      </c>
      <c r="J59" s="29">
        <f>MAX(IF(J$56-$C59&lt;365,(SUM($E17:J17)-SUM($E59:I59))*$D59*(J$56-$C59)/365,((SUM($E17:J17)-SUM($E59:I59))*$D59)),0)</f>
        <v>3.4684097626849315</v>
      </c>
      <c r="K59" s="29">
        <f>MAX(IF(K$56-$C59&lt;365,(SUM($E17:K17)-SUM($E59:J59))*$D59*(K$56-$C59)/365,((SUM($E17:K17)-SUM($E59:J59))*$D59)),0)</f>
        <v>3.1389108352298627</v>
      </c>
      <c r="L59" s="29">
        <f>MAX(IF(L$56-$C59&lt;365,(SUM($E17:L17)-SUM($E59:K59))*$D59*(L$56-$C59)/365,((SUM($E17:L17)-SUM($E59:K59))*$D59)),0)</f>
        <v>2.8407143058830262</v>
      </c>
      <c r="M59" s="29">
        <f>MAX(IF(M$56-$C59&lt;365,(SUM($E17:M17)-SUM($E59:L59))*$D59*(M$56-$C59)/365,((SUM($E17:M17)-SUM($E59:L59))*$D59)),0)</f>
        <v>2.5708464468241385</v>
      </c>
      <c r="N59" s="29">
        <f>MAX(IF(N$56-$C59&lt;365,(SUM($E17:N17)-SUM($E59:M59))*$D59*(N$56-$C59)/365,((SUM($E17:N17)-SUM($E59:M59))*$D59)),0)</f>
        <v>2.3266160343758453</v>
      </c>
      <c r="O59" s="29">
        <f>MAX(IF(O$56-$C59&lt;365,(SUM($E17:O17)-SUM($E59:N59))*$D59*(O$56-$C59)/365,((SUM($E17:O17)-SUM($E59:N59))*$D59)),0)</f>
        <v>2.1055875111101399</v>
      </c>
    </row>
    <row r="60" spans="2:18" x14ac:dyDescent="0.35">
      <c r="B60" s="3" t="s">
        <v>21</v>
      </c>
      <c r="C60" s="76">
        <f>BA!E20</f>
        <v>45107</v>
      </c>
      <c r="D60" s="78">
        <v>9.5000000000000001E-2</v>
      </c>
      <c r="E60" s="197"/>
      <c r="F60" s="29">
        <f>MAX(IF(F$56-$C60&lt;365,(SUM($E18:F18)-SUM($E60:E60))*$D60*(F$56-$C60)/365,((SUM($E18:F18)-SUM($E60:E60))*$D60)),0)</f>
        <v>0</v>
      </c>
      <c r="G60" s="29">
        <f>MAX(IF(G$56-$C60&lt;365,(SUM($E18:G18)-SUM($E60:F60))*$D60*(G$56-$C60)/365,((SUM($E18:G18)-SUM($E60:F60))*$D60)),0)</f>
        <v>0</v>
      </c>
      <c r="H60" s="29">
        <f>MAX(IF(H$56-$C60&lt;365,(SUM($E18:H18)-SUM($E60:G60))*$D60*(H$56-$C60)/365,((SUM($E18:H18)-SUM($E60:G60))*$D60)),0)</f>
        <v>8.8857924657534237</v>
      </c>
      <c r="I60" s="29">
        <f>MAX(IF(I$56-$C60&lt;365,(SUM($E18:I18)-SUM($E60:H60))*$D60*(I$56-$C60)/365,((SUM($E18:I18)-SUM($E60:H60))*$D60)),0)</f>
        <v>10.949719715753425</v>
      </c>
      <c r="J60" s="29">
        <f>MAX(IF(J$56-$C60&lt;365,(SUM($E18:J18)-SUM($E60:I60))*$D60*(J$56-$C60)/365,((SUM($E18:J18)-SUM($E60:I60))*$D60)),0)</f>
        <v>14.627044342756847</v>
      </c>
      <c r="K60" s="29">
        <f>MAX(IF(K$56-$C60&lt;365,(SUM($E18:K18)-SUM($E60:J60))*$D60*(K$56-$C60)/365,((SUM($E18:K18)-SUM($E60:J60))*$D60)),0)</f>
        <v>20.313797130194946</v>
      </c>
      <c r="L60" s="29">
        <f>MAX(IF(L$56-$C60&lt;365,(SUM($E18:L18)-SUM($E60:K60))*$D60*(L$56-$C60)/365,((SUM($E18:L18)-SUM($E60:K60))*$D60)),0)</f>
        <v>18.383986402826427</v>
      </c>
      <c r="M60" s="29">
        <f>MAX(IF(M$56-$C60&lt;365,(SUM($E18:M18)-SUM($E60:L60))*$D60*(M$56-$C60)/365,((SUM($E18:M18)-SUM($E60:L60))*$D60)),0)</f>
        <v>16.637507694557918</v>
      </c>
      <c r="N60" s="29">
        <f>MAX(IF(N$56-$C60&lt;365,(SUM($E18:N18)-SUM($E60:M60))*$D60*(N$56-$C60)/365,((SUM($E18:N18)-SUM($E60:M60))*$D60)),0)</f>
        <v>15.056944463574913</v>
      </c>
      <c r="O60" s="29">
        <f>MAX(IF(O$56-$C60&lt;365,(SUM($E18:O18)-SUM($E60:N60))*$D60*(O$56-$C60)/365,((SUM($E18:O18)-SUM($E60:N60))*$D60)),0)</f>
        <v>13.626534739535298</v>
      </c>
    </row>
    <row r="61" spans="2:18" x14ac:dyDescent="0.35">
      <c r="B61" s="3" t="s">
        <v>22</v>
      </c>
      <c r="C61" s="76">
        <f>BA!E21</f>
        <v>45199</v>
      </c>
      <c r="D61" s="78">
        <v>9.5000000000000001E-2</v>
      </c>
      <c r="E61" s="197"/>
      <c r="F61" s="29">
        <f>MAX(IF(F$56-$C61&lt;365,(SUM($E19:F19)-SUM($E61:E61))*$D61*(F$56-$C61)/365,((SUM($E19:F19)-SUM($E61:E61))*$D61)),0)</f>
        <v>0</v>
      </c>
      <c r="G61" s="29">
        <f>MAX(IF(G$56-$C61&lt;365,(SUM($E19:G19)-SUM($E61:F61))*$D61*(G$56-$C61)/365,((SUM($E19:G19)-SUM($E61:F61))*$D61)),0)</f>
        <v>0</v>
      </c>
      <c r="H61" s="29">
        <f>MAX(IF(H$56-$C61&lt;365,(SUM($E19:H19)-SUM($E61:G61))*$D61*(H$56-$C61)/365,((SUM($E19:H19)-SUM($E61:G61))*$D61)),0)</f>
        <v>4.5724931506849327</v>
      </c>
      <c r="I61" s="29">
        <f>MAX(IF(I$56-$C61&lt;365,(SUM($E19:I19)-SUM($E61:H61))*$D61*(I$56-$C61)/365,((SUM($E19:I19)-SUM($E61:H61))*$D61)),0)</f>
        <v>8.6856131506849312</v>
      </c>
      <c r="J61" s="29">
        <f>MAX(IF(J$56-$C61&lt;365,(SUM($E19:J19)-SUM($E61:I61))*$D61*(J$56-$C61)/365,((SUM($E19:J19)-SUM($E61:I61))*$D61)),0)</f>
        <v>7.860479901369863</v>
      </c>
      <c r="K61" s="29">
        <f>MAX(IF(K$56-$C61&lt;365,(SUM($E19:K19)-SUM($E61:J61))*$D61*(K$56-$C61)/365,((SUM($E19:K19)-SUM($E61:J61))*$D61)),0)</f>
        <v>7.1137343107397264</v>
      </c>
      <c r="L61" s="29">
        <f>MAX(IF(L$56-$C61&lt;365,(SUM($E19:L19)-SUM($E61:K61))*$D61*(L$56-$C61)/365,((SUM($E19:L19)-SUM($E61:K61))*$D61)),0)</f>
        <v>6.4379295512194519</v>
      </c>
      <c r="M61" s="29">
        <f>MAX(IF(M$56-$C61&lt;365,(SUM($E19:M19)-SUM($E61:L61))*$D61*(M$56-$C61)/365,((SUM($E19:M19)-SUM($E61:L61))*$D61)),0)</f>
        <v>5.8263262438536039</v>
      </c>
      <c r="N61" s="29">
        <f>MAX(IF(N$56-$C61&lt;365,(SUM($E19:N19)-SUM($E61:M61))*$D61*(N$56-$C61)/365,((SUM($E19:N19)-SUM($E61:M61))*$D61)),0)</f>
        <v>5.2728252506875117</v>
      </c>
      <c r="O61" s="29">
        <f>MAX(IF(O$56-$C61&lt;365,(SUM($E19:O19)-SUM($E61:N61))*$D61*(O$56-$C61)/365,((SUM($E19:O19)-SUM($E61:N61))*$D61)),0)</f>
        <v>4.7719068518721981</v>
      </c>
    </row>
    <row r="62" spans="2:18" x14ac:dyDescent="0.35">
      <c r="B62" s="3" t="s">
        <v>23</v>
      </c>
      <c r="C62" s="76">
        <f>BA!E22</f>
        <v>45016</v>
      </c>
      <c r="D62" s="78">
        <v>9.5000000000000001E-2</v>
      </c>
      <c r="E62" s="197"/>
      <c r="F62" s="29">
        <f>MAX(IF(F$56-$C62&lt;365,(SUM($E20:F20)-SUM($E62:E62))*$D62*(F$56-$C62)/365,((SUM($E20:F20)-SUM($E62:E62))*$D62)),0)</f>
        <v>0</v>
      </c>
      <c r="G62" s="29">
        <f>MAX(IF(G$56-$C62&lt;365,(SUM($E20:G20)-SUM($E62:F62))*$D62*(G$56-$C62)/365,((SUM($E20:G20)-SUM($E62:F62))*$D62)),0)</f>
        <v>0</v>
      </c>
      <c r="H62" s="29">
        <f>MAX(IF(H$56-$C62&lt;365,(SUM($E20:H20)-SUM($E62:G62))*$D62*(H$56-$C62)/365,((SUM($E20:H20)-SUM($E62:G62))*$D62)),0)</f>
        <v>9.120000000000001</v>
      </c>
      <c r="I62" s="29">
        <f>MAX(IF(I$56-$C62&lt;365,(SUM($E20:I20)-SUM($E62:H62))*$D62*(I$56-$C62)/365,((SUM($E20:I20)-SUM($E62:H62))*$D62)),0)</f>
        <v>8.2536000000000005</v>
      </c>
      <c r="J62" s="29">
        <f>MAX(IF(J$56-$C62&lt;365,(SUM($E20:J20)-SUM($E62:I62))*$D62*(J$56-$C62)/365,((SUM($E20:J20)-SUM($E62:I62))*$D62)),0)</f>
        <v>7.4695079999999994</v>
      </c>
      <c r="K62" s="29">
        <f>MAX(IF(K$56-$C62&lt;365,(SUM($E20:K20)-SUM($E62:J62))*$D62*(K$56-$C62)/365,((SUM($E20:K20)-SUM($E62:J62))*$D62)),0)</f>
        <v>6.7599047399999996</v>
      </c>
      <c r="L62" s="29">
        <f>MAX(IF(L$56-$C62&lt;365,(SUM($E20:L20)-SUM($E62:K62))*$D62*(L$56-$C62)/365,((SUM($E20:L20)-SUM($E62:K62))*$D62)),0)</f>
        <v>6.1177137897000007</v>
      </c>
      <c r="M62" s="29">
        <f>MAX(IF(M$56-$C62&lt;365,(SUM($E20:M20)-SUM($E62:L62))*$D62*(M$56-$C62)/365,((SUM($E20:M20)-SUM($E62:L62))*$D62)),0)</f>
        <v>5.5365309796785001</v>
      </c>
      <c r="N62" s="29">
        <f>MAX(IF(N$56-$C62&lt;365,(SUM($E20:N20)-SUM($E62:M62))*$D62*(N$56-$C62)/365,((SUM($E20:N20)-SUM($E62:M62))*$D62)),0)</f>
        <v>5.0105605366090424</v>
      </c>
      <c r="O62" s="29">
        <f>MAX(IF(O$56-$C62&lt;365,(SUM($E20:O20)-SUM($E62:N62))*$D62*(O$56-$C62)/365,((SUM($E20:O20)-SUM($E62:N62))*$D62)),0)</f>
        <v>4.5345572856311831</v>
      </c>
    </row>
    <row r="63" spans="2:18" x14ac:dyDescent="0.35">
      <c r="B63" s="3" t="s">
        <v>24</v>
      </c>
      <c r="C63" s="76">
        <f>BA!E23</f>
        <v>44651</v>
      </c>
      <c r="D63" s="78">
        <v>9.5000000000000001E-2</v>
      </c>
      <c r="E63" s="197"/>
      <c r="F63" s="29">
        <f>MAX(IF(F$56-$C63&lt;365,(SUM($E21:F21)-SUM($E63:E63))*$D63*(F$56-$C63)/365,((SUM($E21:F21)-SUM($E63:E63))*$D63)),0)</f>
        <v>0</v>
      </c>
      <c r="G63" s="29">
        <f>MAX(IF(G$56-$C63&lt;365,(SUM($E21:G21)-SUM($E63:F63))*$D63*(G$56-$C63)/365,((SUM($E21:G21)-SUM($E63:F63))*$D63)),0)</f>
        <v>3.0788207999999999</v>
      </c>
      <c r="H63" s="29">
        <f>MAX(IF(H$56-$C63&lt;365,(SUM($E21:H21)-SUM($E63:G63))*$D63*(H$56-$C63)/365,((SUM($E21:H21)-SUM($E63:G63))*$D63)),0)</f>
        <v>2.786332824</v>
      </c>
      <c r="I63" s="29">
        <f>MAX(IF(I$56-$C63&lt;365,(SUM($E21:I21)-SUM($E63:H63))*$D63*(I$56-$C63)/365,((SUM($E21:I21)-SUM($E63:H63))*$D63)),0)</f>
        <v>2.5216312057199999</v>
      </c>
      <c r="J63" s="29">
        <f>MAX(IF(J$56-$C63&lt;365,(SUM($E21:J21)-SUM($E63:I63))*$D63*(J$56-$C63)/365,((SUM($E21:J21)-SUM($E63:I63))*$D63)),0)</f>
        <v>2.2820762411766</v>
      </c>
      <c r="K63" s="29">
        <f>MAX(IF(K$56-$C63&lt;365,(SUM($E21:K21)-SUM($E63:J63))*$D63*(K$56-$C63)/365,((SUM($E21:K21)-SUM($E63:J63))*$D63)),0)</f>
        <v>2.065278998264823</v>
      </c>
      <c r="L63" s="29">
        <f>MAX(IF(L$56-$C63&lt;365,(SUM($E21:L21)-SUM($E63:K63))*$D63*(L$56-$C63)/365,((SUM($E21:L21)-SUM($E63:K63))*$D63)),0)</f>
        <v>1.8690774934296646</v>
      </c>
      <c r="M63" s="29">
        <f>MAX(IF(M$56-$C63&lt;365,(SUM($E21:M21)-SUM($E63:L63))*$D63*(M$56-$C63)/365,((SUM($E21:M21)-SUM($E63:L63))*$D63)),0)</f>
        <v>1.6915151315538466</v>
      </c>
      <c r="N63" s="29">
        <f>MAX(IF(N$56-$C63&lt;365,(SUM($E21:N21)-SUM($E63:M63))*$D63*(N$56-$C63)/365,((SUM($E21:N21)-SUM($E63:M63))*$D63)),0)</f>
        <v>1.5308211940562313</v>
      </c>
      <c r="O63" s="29">
        <f>MAX(IF(O$56-$C63&lt;365,(SUM($E21:O21)-SUM($E63:N63))*$D63*(O$56-$C63)/365,((SUM($E21:O21)-SUM($E63:N63))*$D63)),0)</f>
        <v>1.3853931806208892</v>
      </c>
    </row>
    <row r="64" spans="2:18" x14ac:dyDescent="0.35">
      <c r="B64" s="3" t="s">
        <v>25</v>
      </c>
      <c r="C64" s="76">
        <f>BA!E24</f>
        <v>44651</v>
      </c>
      <c r="D64" s="78">
        <v>9.5000000000000001E-2</v>
      </c>
      <c r="E64" s="197"/>
      <c r="F64" s="29">
        <f>MAX(IF(F$56-$C64&lt;365,(SUM($E22:F22)-SUM($E64:E64))*$D64*(F$56-$C64)/365,((SUM($E22:F22)-SUM($E64:E64))*$D64)),0)</f>
        <v>0</v>
      </c>
      <c r="G64" s="29">
        <f>MAX(IF(G$56-$C64&lt;365,(SUM($E22:G22)-SUM($E64:F64))*$D64*(G$56-$C64)/365,((SUM($E22:G22)-SUM($E64:F64))*$D64)),0)</f>
        <v>4.5600000000000005</v>
      </c>
      <c r="H64" s="29">
        <f>MAX(IF(H$56-$C64&lt;365,(SUM($E22:H22)-SUM($E64:G64))*$D64*(H$56-$C64)/365,((SUM($E22:H22)-SUM($E64:G64))*$D64)),0)</f>
        <v>4.1268000000000002</v>
      </c>
      <c r="I64" s="29">
        <f>MAX(IF(I$56-$C64&lt;365,(SUM($E22:I22)-SUM($E64:H64))*$D64*(I$56-$C64)/365,((SUM($E22:I22)-SUM($E64:H64))*$D64)),0)</f>
        <v>3.7347539999999997</v>
      </c>
      <c r="J64" s="29">
        <f>MAX(IF(J$56-$C64&lt;365,(SUM($E22:J22)-SUM($E64:I64))*$D64*(J$56-$C64)/365,((SUM($E22:J22)-SUM($E64:I64))*$D64)),0)</f>
        <v>3.3799523699999998</v>
      </c>
      <c r="K64" s="29">
        <f>MAX(IF(K$56-$C64&lt;365,(SUM($E22:K22)-SUM($E64:J64))*$D64*(K$56-$C64)/365,((SUM($E22:K22)-SUM($E64:J64))*$D64)),0)</f>
        <v>3.0588568948500003</v>
      </c>
      <c r="L64" s="29">
        <f>MAX(IF(L$56-$C64&lt;365,(SUM($E22:L22)-SUM($E64:K64))*$D64*(L$56-$C64)/365,((SUM($E22:L22)-SUM($E64:K64))*$D64)),0)</f>
        <v>2.76826548983925</v>
      </c>
      <c r="M64" s="29">
        <f>MAX(IF(M$56-$C64&lt;365,(SUM($E22:M22)-SUM($E64:L64))*$D64*(M$56-$C64)/365,((SUM($E22:M22)-SUM($E64:L64))*$D64)),0)</f>
        <v>2.5052802683045212</v>
      </c>
      <c r="N64" s="29">
        <f>MAX(IF(N$56-$C64&lt;365,(SUM($E22:N22)-SUM($E64:M64))*$D64*(N$56-$C64)/365,((SUM($E22:N22)-SUM($E64:M64))*$D64)),0)</f>
        <v>2.2672786428155915</v>
      </c>
      <c r="O64" s="29">
        <f>MAX(IF(O$56-$C64&lt;365,(SUM($E22:O22)-SUM($E64:N64))*$D64*(O$56-$C64)/365,((SUM($E22:O22)-SUM($E64:N64))*$D64)),0)</f>
        <v>2.0518871717481106</v>
      </c>
    </row>
    <row r="65" spans="2:15" x14ac:dyDescent="0.35">
      <c r="B65" s="3" t="s">
        <v>26</v>
      </c>
      <c r="C65" s="76">
        <f>BA!E25</f>
        <v>45382</v>
      </c>
      <c r="D65" s="78">
        <v>9.5000000000000001E-2</v>
      </c>
      <c r="E65" s="197"/>
      <c r="F65" s="29">
        <f>MAX(IF(F$56-$C65&lt;365,(SUM($E23:F23)-SUM($E65:E65))*$D65*(F$56-$C65)/365,((SUM($E23:F23)-SUM($E65:E65))*$D65)),0)</f>
        <v>0</v>
      </c>
      <c r="G65" s="29">
        <f>MAX(IF(G$56-$C65&lt;365,(SUM($E23:G23)-SUM($E65:F65))*$D65*(G$56-$C65)/365,((SUM($E23:G23)-SUM($E65:F65))*$D65)),0)</f>
        <v>0</v>
      </c>
      <c r="H65" s="29">
        <f>MAX(IF(H$56-$C65&lt;365,(SUM($E23:H23)-SUM($E65:G65))*$D65*(H$56-$C65)/365,((SUM($E23:H23)-SUM($E65:G65))*$D65)),0)</f>
        <v>0</v>
      </c>
      <c r="I65" s="29">
        <f>MAX(IF(I$56-$C65&lt;365,(SUM($E23:I23)-SUM($E65:H65))*$D65*(I$56-$C65)/365,((SUM($E23:I23)-SUM($E65:H65))*$D65)),0)</f>
        <v>0.91199999999999992</v>
      </c>
      <c r="J65" s="29">
        <f>MAX(IF(J$56-$C65&lt;365,(SUM($E23:J23)-SUM($E65:I65))*$D65*(J$56-$C65)/365,((SUM($E23:J23)-SUM($E65:I65))*$D65)),0)</f>
        <v>0.82535999999999987</v>
      </c>
      <c r="K65" s="29">
        <f>MAX(IF(K$56-$C65&lt;365,(SUM($E23:K23)-SUM($E65:J65))*$D65*(K$56-$C65)/365,((SUM($E23:K23)-SUM($E65:J65))*$D65)),0)</f>
        <v>0.74695080000000003</v>
      </c>
      <c r="L65" s="29">
        <f>MAX(IF(L$56-$C65&lt;365,(SUM($E23:L23)-SUM($E65:K65))*$D65*(L$56-$C65)/365,((SUM($E23:L23)-SUM($E65:K65))*$D65)),0)</f>
        <v>0.67599047400000001</v>
      </c>
      <c r="M65" s="29">
        <f>MAX(IF(M$56-$C65&lt;365,(SUM($E23:M23)-SUM($E65:L65))*$D65*(M$56-$C65)/365,((SUM($E23:M23)-SUM($E65:L65))*$D65)),0)</f>
        <v>0.61177137897</v>
      </c>
      <c r="N65" s="29">
        <f>MAX(IF(N$56-$C65&lt;365,(SUM($E23:N23)-SUM($E65:M65))*$D65*(N$56-$C65)/365,((SUM($E23:N23)-SUM($E65:M65))*$D65)),0)</f>
        <v>0.55365309796785001</v>
      </c>
      <c r="O65" s="29">
        <f>MAX(IF(O$56-$C65&lt;365,(SUM($E23:O23)-SUM($E65:N65))*$D65*(O$56-$C65)/365,((SUM($E23:O23)-SUM($E65:N65))*$D65)),0)</f>
        <v>0.50105605366090422</v>
      </c>
    </row>
    <row r="66" spans="2:15" x14ac:dyDescent="0.35">
      <c r="B66" s="32"/>
      <c r="C66" s="21"/>
      <c r="D66" s="40"/>
      <c r="E66" s="197"/>
      <c r="F66" s="197"/>
      <c r="G66" s="197"/>
      <c r="H66" s="197"/>
      <c r="I66" s="197"/>
      <c r="J66" s="197"/>
      <c r="K66" s="197"/>
      <c r="L66" s="197"/>
      <c r="M66" s="29"/>
      <c r="N66" s="29"/>
      <c r="O66" s="29"/>
    </row>
    <row r="67" spans="2:15" x14ac:dyDescent="0.35">
      <c r="B67" s="33" t="s">
        <v>82</v>
      </c>
      <c r="C67" s="62"/>
      <c r="D67" s="62"/>
      <c r="E67" s="198"/>
      <c r="F67" s="198">
        <f t="shared" ref="F67:O67" si="10">SUM(F59:F65)</f>
        <v>0</v>
      </c>
      <c r="G67" s="198">
        <f t="shared" si="10"/>
        <v>11.061944087671232</v>
      </c>
      <c r="H67" s="198">
        <f t="shared" si="10"/>
        <v>33.726221728109586</v>
      </c>
      <c r="I67" s="198">
        <f t="shared" si="10"/>
        <v>38.889815047500818</v>
      </c>
      <c r="J67" s="198">
        <f t="shared" si="10"/>
        <v>39.912830617988234</v>
      </c>
      <c r="K67" s="198">
        <f t="shared" si="10"/>
        <v>43.197433709279359</v>
      </c>
      <c r="L67" s="198">
        <f t="shared" si="10"/>
        <v>39.093677506897819</v>
      </c>
      <c r="M67" s="198">
        <f t="shared" si="10"/>
        <v>35.379778143742527</v>
      </c>
      <c r="N67" s="198">
        <f t="shared" si="10"/>
        <v>32.01869922008698</v>
      </c>
      <c r="O67" s="198">
        <f t="shared" si="10"/>
        <v>28.976922794178723</v>
      </c>
    </row>
    <row r="68" spans="2:15" x14ac:dyDescent="0.35">
      <c r="B68" s="32"/>
      <c r="C68" s="6"/>
      <c r="D68" s="6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29"/>
    </row>
    <row r="69" spans="2:15" x14ac:dyDescent="0.35">
      <c r="B69" s="82" t="s">
        <v>83</v>
      </c>
      <c r="C69" s="80" t="s">
        <v>79</v>
      </c>
      <c r="D69" s="92" t="s">
        <v>27</v>
      </c>
      <c r="E69" s="196" t="s">
        <v>87</v>
      </c>
      <c r="F69" s="196" t="s">
        <v>87</v>
      </c>
      <c r="G69" s="196" t="s">
        <v>87</v>
      </c>
      <c r="H69" s="196" t="s">
        <v>87</v>
      </c>
      <c r="I69" s="196" t="s">
        <v>87</v>
      </c>
      <c r="J69" s="196" t="s">
        <v>87</v>
      </c>
      <c r="K69" s="196" t="s">
        <v>87</v>
      </c>
      <c r="L69" s="196" t="s">
        <v>87</v>
      </c>
      <c r="M69" s="196" t="s">
        <v>87</v>
      </c>
      <c r="N69" s="196" t="s">
        <v>87</v>
      </c>
      <c r="O69" s="196" t="s">
        <v>87</v>
      </c>
    </row>
    <row r="70" spans="2:15" x14ac:dyDescent="0.35">
      <c r="B70" s="3" t="s">
        <v>20</v>
      </c>
      <c r="C70" s="79">
        <f>BA!E32</f>
        <v>44834</v>
      </c>
      <c r="D70" s="78">
        <f>18.1%</f>
        <v>0.18100000000000002</v>
      </c>
      <c r="E70" s="197"/>
      <c r="F70" s="29">
        <f>MAX(IF(F$56-$C70&lt;365,(SUM($E27:F27)-SUM($E70:E70))*$D70*(F$56-$C70)/365,((SUM($E27:F27)-SUM($E70:E70))*$D70)),0)</f>
        <v>0</v>
      </c>
      <c r="G70" s="29">
        <f>MAX(IF(G$56-$C70&lt;365,(SUM($E27:G27)-SUM($E70:F70))*$D70*(G$56-$C70)/365,((SUM($E27:G27)-SUM($E70:F70))*$D70)),0)</f>
        <v>1.4981841095890416</v>
      </c>
      <c r="H70" s="29">
        <f>MAX(IF(H$56-$C70&lt;365,(SUM($E27:H27)-SUM($E70:G70))*$D70*(H$56-$C70)/365,((SUM($E27:H27)-SUM($E70:G70))*$D70)),0)</f>
        <v>2.733428676164384</v>
      </c>
      <c r="I70" s="29">
        <f>MAX(IF(I$56-$C70&lt;365,(SUM($E27:I27)-SUM($E70:H70))*$D70*(I$56-$C70)/365,((SUM($E27:I27)-SUM($E70:H70))*$D70)),0)</f>
        <v>2.2386780857786306</v>
      </c>
      <c r="J70" s="29">
        <f>MAX(IF(J$56-$C70&lt;365,(SUM($E27:J27)-SUM($E70:I70))*$D70*(J$56-$C70)/365,((SUM($E27:J27)-SUM($E70:I70))*$D70)),0)</f>
        <v>1.8334773522526984</v>
      </c>
      <c r="K70" s="29">
        <f>MAX(IF(K$56-$C70&lt;365,(SUM($E27:K27)-SUM($E70:J70))*$D70*(K$56-$C70)/365,((SUM($E27:K27)-SUM($E70:J70))*$D70)),0)</f>
        <v>1.5016179514949599</v>
      </c>
      <c r="L70" s="29">
        <f>MAX(IF(L$56-$C70&lt;365,(SUM($E27:L27)-SUM($E70:K70))*$D70*(L$56-$C70)/365,((SUM($E27:L27)-SUM($E70:K70))*$D70)),0)</f>
        <v>1.229825102274372</v>
      </c>
      <c r="M70" s="29">
        <f>MAX(IF(M$56-$C70&lt;365,(SUM($E27:M27)-SUM($E70:L70))*$D70*(M$56-$C70)/365,((SUM($E27:M27)-SUM($E70:L70))*$D70)),0)</f>
        <v>1.0072267587627106</v>
      </c>
      <c r="N70" s="29">
        <f>MAX(IF(N$56-$C70&lt;365,(SUM($E27:N27)-SUM($E70:M70))*$D70*(N$56-$C70)/365,((SUM($E27:N27)-SUM($E70:M70))*$D70)),0)</f>
        <v>0.82491871542666007</v>
      </c>
      <c r="O70" s="29">
        <f>MAX(IF(O$56-$C70&lt;365,(SUM($E27:O27)-SUM($E70:N70))*$D70*(O$56-$C70)/365,((SUM($E27:O27)-SUM($E70:N70))*$D70)),0)</f>
        <v>0.67560842793443454</v>
      </c>
    </row>
    <row r="71" spans="2:15" x14ac:dyDescent="0.35">
      <c r="B71" s="3" t="s">
        <v>21</v>
      </c>
      <c r="C71" s="79">
        <f>BA!E33</f>
        <v>45199</v>
      </c>
      <c r="D71" s="78">
        <f t="shared" ref="D71:D76" si="11">18.1%</f>
        <v>0.18100000000000002</v>
      </c>
      <c r="E71" s="197"/>
      <c r="F71" s="29">
        <f>MAX(IF(F$56-$C71&lt;365,(SUM($E28:F28)-SUM($E71:E71))*$D71*(F$56-$C71)/365,((SUM($E28:F28)-SUM($E71:E71))*$D71)),0)</f>
        <v>0</v>
      </c>
      <c r="G71" s="29">
        <f>MAX(IF(G$56-$C71&lt;365,(SUM($E28:G28)-SUM($E71:F71))*$D71*(G$56-$C71)/365,((SUM($E28:G28)-SUM($E71:F71))*$D71)),0)</f>
        <v>0</v>
      </c>
      <c r="H71" s="29">
        <f>MAX(IF(H$56-$C71&lt;365,(SUM($E28:H28)-SUM($E71:G71))*$D71*(H$56-$C71)/365,((SUM($E28:H28)-SUM($E71:G71))*$D71)),0)</f>
        <v>6.025663561643837</v>
      </c>
      <c r="I71" s="29">
        <f>MAX(IF(I$56-$C71&lt;365,(SUM($E28:I28)-SUM($E71:H71))*$D71*(I$56-$C71)/365,((SUM($E28:I28)-SUM($E71:H71))*$D71)),0)</f>
        <v>10.927754895342467</v>
      </c>
      <c r="J71" s="29">
        <f>MAX(IF(J$56-$C71&lt;365,(SUM($E28:J28)-SUM($E71:I71))*$D71*(J$56-$C71)/365,((SUM($E28:J28)-SUM($E71:I71))*$D71)),0)</f>
        <v>8.9498312592854816</v>
      </c>
      <c r="K71" s="29">
        <f>MAX(IF(K$56-$C71&lt;365,(SUM($E28:K28)-SUM($E71:J71))*$D71*(K$56-$C71)/365,((SUM($E28:K28)-SUM($E71:J71))*$D71)),0)</f>
        <v>19.348311801354811</v>
      </c>
      <c r="L71" s="29">
        <f>MAX(IF(L$56-$C71&lt;365,(SUM($E28:L28)-SUM($E71:K71))*$D71*(L$56-$C71)/365,((SUM($E28:L28)-SUM($E71:K71))*$D71)),0)</f>
        <v>15.84626736530959</v>
      </c>
      <c r="M71" s="29">
        <f>MAX(IF(M$56-$C71&lt;365,(SUM($E28:M28)-SUM($E71:L71))*$D71*(M$56-$C71)/365,((SUM($E28:M28)-SUM($E71:L71))*$D71)),0)</f>
        <v>12.978092972188554</v>
      </c>
      <c r="N71" s="29">
        <f>MAX(IF(N$56-$C71&lt;365,(SUM($E28:N28)-SUM($E71:M71))*$D71*(N$56-$C71)/365,((SUM($E28:N28)-SUM($E71:M71))*$D71)),0)</f>
        <v>10.629058144222427</v>
      </c>
      <c r="O71" s="29">
        <f>MAX(IF(O$56-$C71&lt;365,(SUM($E28:O28)-SUM($E71:N71))*$D71*(O$56-$C71)/365,((SUM($E28:O28)-SUM($E71:N71))*$D71)),0)</f>
        <v>8.7051986201181677</v>
      </c>
    </row>
    <row r="72" spans="2:15" x14ac:dyDescent="0.35">
      <c r="B72" s="3" t="s">
        <v>22</v>
      </c>
      <c r="C72" s="79">
        <f>BA!E34</f>
        <v>45291</v>
      </c>
      <c r="D72" s="78">
        <f t="shared" si="11"/>
        <v>0.18100000000000002</v>
      </c>
      <c r="E72" s="197"/>
      <c r="F72" s="29">
        <f>MAX(IF(F$56-$C72&lt;365,(SUM($E29:F29)-SUM($E72:E72))*$D72*(F$56-$C72)/365,((SUM($E29:F29)-SUM($E72:E72))*$D72)),0)</f>
        <v>0</v>
      </c>
      <c r="G72" s="29">
        <f>MAX(IF(G$56-$C72&lt;365,(SUM($E29:G29)-SUM($E72:F72))*$D72*(G$56-$C72)/365,((SUM($E29:G29)-SUM($E72:F72))*$D72)),0)</f>
        <v>0</v>
      </c>
      <c r="H72" s="29">
        <f>MAX(IF(H$56-$C72&lt;365,(SUM($E29:H29)-SUM($E72:G72))*$D72*(H$56-$C72)/365,((SUM($E29:H29)-SUM($E72:G72))*$D72)),0)</f>
        <v>1.4981841095890416</v>
      </c>
      <c r="I72" s="29">
        <f>MAX(IF(I$56-$C72&lt;365,(SUM($E29:I29)-SUM($E72:H72))*$D72*(I$56-$C72)/365,((SUM($E29:I29)-SUM($E72:H72))*$D72)),0)</f>
        <v>5.7380286761643848</v>
      </c>
      <c r="J72" s="29">
        <f>MAX(IF(J$56-$C72&lt;365,(SUM($E29:J29)-SUM($E72:I72))*$D72*(J$56-$C72)/365,((SUM($E29:J29)-SUM($E72:I72))*$D72)),0)</f>
        <v>4.6994454857786305</v>
      </c>
      <c r="K72" s="29">
        <f>MAX(IF(K$56-$C72&lt;365,(SUM($E29:K29)-SUM($E72:J72))*$D72*(K$56-$C72)/365,((SUM($E29:K29)-SUM($E72:J72))*$D72)),0)</f>
        <v>3.848845852852699</v>
      </c>
      <c r="L72" s="29">
        <f>MAX(IF(L$56-$C72&lt;365,(SUM($E29:L29)-SUM($E72:K72))*$D72*(L$56-$C72)/365,((SUM($E29:L29)-SUM($E72:K72))*$D72)),0)</f>
        <v>3.1522047534863598</v>
      </c>
      <c r="M72" s="29">
        <f>MAX(IF(M$56-$C72&lt;365,(SUM($E29:M29)-SUM($E72:L72))*$D72*(M$56-$C72)/365,((SUM($E29:M29)-SUM($E72:L72))*$D72)),0)</f>
        <v>2.5816556931053287</v>
      </c>
      <c r="N72" s="29">
        <f>MAX(IF(N$56-$C72&lt;365,(SUM($E29:N29)-SUM($E72:M72))*$D72*(N$56-$C72)/365,((SUM($E29:N29)-SUM($E72:M72))*$D72)),0)</f>
        <v>2.1143760126532642</v>
      </c>
      <c r="O72" s="29">
        <f>MAX(IF(O$56-$C72&lt;365,(SUM($E29:O29)-SUM($E72:N72))*$D72*(O$56-$C72)/365,((SUM($E29:O29)-SUM($E72:N72))*$D72)),0)</f>
        <v>1.7316739543630235</v>
      </c>
    </row>
    <row r="73" spans="2:15" x14ac:dyDescent="0.35">
      <c r="B73" s="3" t="s">
        <v>23</v>
      </c>
      <c r="C73" s="79">
        <f>BA!E35</f>
        <v>45107</v>
      </c>
      <c r="D73" s="78">
        <f t="shared" si="11"/>
        <v>0.18100000000000002</v>
      </c>
      <c r="E73" s="197"/>
      <c r="F73" s="29">
        <f>MAX(IF(F$56-$C73&lt;365,(SUM($E30:F30)-SUM($E73:E73))*$D73*(F$56-$C73)/365,((SUM($E30:F30)-SUM($E73:E73))*$D73)),0)</f>
        <v>0</v>
      </c>
      <c r="G73" s="29">
        <f>MAX(IF(G$56-$C73&lt;365,(SUM($E30:G30)-SUM($E73:F73))*$D73*(G$56-$C73)/365,((SUM($E30:G30)-SUM($E73:F73))*$D73)),0)</f>
        <v>0</v>
      </c>
      <c r="H73" s="29">
        <f>MAX(IF(H$56-$C73&lt;365,(SUM($E30:H30)-SUM($E73:G73))*$D73*(H$56-$C73)/365,((SUM($E30:H30)-SUM($E73:G73))*$D73)),0)</f>
        <v>4.5274794520547958</v>
      </c>
      <c r="I73" s="29">
        <f>MAX(IF(I$56-$C73&lt;365,(SUM($E30:I30)-SUM($E73:H73))*$D73*(I$56-$C73)/365,((SUM($E30:I30)-SUM($E73:H73))*$D73)),0)</f>
        <v>5.1897262191780831</v>
      </c>
      <c r="J73" s="29">
        <f>MAX(IF(J$56-$C73&lt;365,(SUM($E30:J30)-SUM($E73:I73))*$D73*(J$56-$C73)/365,((SUM($E30:J30)-SUM($E73:I73))*$D73)),0)</f>
        <v>4.2503857735068502</v>
      </c>
      <c r="K73" s="29">
        <f>MAX(IF(K$56-$C73&lt;365,(SUM($E30:K30)-SUM($E73:J73))*$D73*(K$56-$C73)/365,((SUM($E30:K30)-SUM($E73:J73))*$D73)),0)</f>
        <v>3.4810659485021103</v>
      </c>
      <c r="L73" s="29">
        <f>MAX(IF(L$56-$C73&lt;365,(SUM($E30:L30)-SUM($E73:K73))*$D73*(L$56-$C73)/365,((SUM($E30:L30)-SUM($E73:K73))*$D73)),0)</f>
        <v>2.8509930118232281</v>
      </c>
      <c r="M73" s="29">
        <f>MAX(IF(M$56-$C73&lt;365,(SUM($E30:M30)-SUM($E73:L73))*$D73*(M$56-$C73)/365,((SUM($E30:M30)-SUM($E73:L73))*$D73)),0)</f>
        <v>2.334963276683224</v>
      </c>
      <c r="N73" s="29">
        <f>MAX(IF(N$56-$C73&lt;365,(SUM($E30:N30)-SUM($E73:M73))*$D73*(N$56-$C73)/365,((SUM($E30:N30)-SUM($E73:M73))*$D73)),0)</f>
        <v>1.9123349236035601</v>
      </c>
      <c r="O73" s="29">
        <f>MAX(IF(O$56-$C73&lt;365,(SUM($E30:O30)-SUM($E73:N73))*$D73*(O$56-$C73)/365,((SUM($E30:O30)-SUM($E73:N73))*$D73)),0)</f>
        <v>1.5662023024313156</v>
      </c>
    </row>
    <row r="74" spans="2:15" x14ac:dyDescent="0.35">
      <c r="B74" s="3" t="s">
        <v>24</v>
      </c>
      <c r="C74" s="79">
        <f>BA!E36</f>
        <v>44742</v>
      </c>
      <c r="D74" s="78">
        <f t="shared" si="11"/>
        <v>0.18100000000000002</v>
      </c>
      <c r="E74" s="197"/>
      <c r="F74" s="29">
        <f>MAX(IF(F$56-$C74&lt;365,(SUM($E31:F31)-SUM($E74:E74))*$D74*(F$56-$C74)/365,((SUM($E31:F31)-SUM($E74:E74))*$D74)),0)</f>
        <v>0</v>
      </c>
      <c r="G74" s="29">
        <f>MAX(IF(G$56-$C74&lt;365,(SUM($E31:G31)-SUM($E74:F74))*$D74*(G$56-$C74)/365,((SUM($E31:G31)-SUM($E74:F74))*$D74)),0)</f>
        <v>1.6916309589041101</v>
      </c>
      <c r="H74" s="29">
        <f>MAX(IF(H$56-$C74&lt;365,(SUM($E31:H31)-SUM($E74:G74))*$D74*(H$56-$C74)/365,((SUM($E31:H31)-SUM($E74:G74))*$D74)),0)</f>
        <v>1.9472647964383569</v>
      </c>
      <c r="I74" s="29">
        <f>MAX(IF(I$56-$C74&lt;365,(SUM($E31:I31)-SUM($E74:H74))*$D74*(I$56-$C74)/365,((SUM($E31:I31)-SUM($E74:H74))*$D74)),0)</f>
        <v>1.5948098682830141</v>
      </c>
      <c r="J74" s="29">
        <f>MAX(IF(J$56-$C74&lt;365,(SUM($E31:J31)-SUM($E74:I74))*$D74*(J$56-$C74)/365,((SUM($E31:J31)-SUM($E74:I74))*$D74)),0)</f>
        <v>1.3061492821237888</v>
      </c>
      <c r="K74" s="29">
        <f>MAX(IF(K$56-$C74&lt;365,(SUM($E31:K31)-SUM($E74:J74))*$D74*(K$56-$C74)/365,((SUM($E31:K31)-SUM($E74:J74))*$D74)),0)</f>
        <v>1.0697362620593829</v>
      </c>
      <c r="L74" s="29">
        <f>MAX(IF(L$56-$C74&lt;365,(SUM($E31:L31)-SUM($E74:K74))*$D74*(L$56-$C74)/365,((SUM($E31:L31)-SUM($E74:K74))*$D74)),0)</f>
        <v>0.87611399862663453</v>
      </c>
      <c r="M74" s="29">
        <f>MAX(IF(M$56-$C74&lt;365,(SUM($E31:M31)-SUM($E74:L74))*$D74*(M$56-$C74)/365,((SUM($E31:M31)-SUM($E74:L74))*$D74)),0)</f>
        <v>0.7175373648752138</v>
      </c>
      <c r="N74" s="29">
        <f>MAX(IF(N$56-$C74&lt;365,(SUM($E31:N31)-SUM($E74:M74))*$D74*(N$56-$C74)/365,((SUM($E31:N31)-SUM($E74:M74))*$D74)),0)</f>
        <v>0.58766310183279991</v>
      </c>
      <c r="O74" s="29">
        <f>MAX(IF(O$56-$C74&lt;365,(SUM($E31:O31)-SUM($E74:N74))*$D74*(O$56-$C74)/365,((SUM($E31:O31)-SUM($E74:N74))*$D74)),0)</f>
        <v>0.48129608040106325</v>
      </c>
    </row>
    <row r="75" spans="2:15" x14ac:dyDescent="0.35">
      <c r="B75" s="3" t="s">
        <v>25</v>
      </c>
      <c r="C75" s="79">
        <f>BA!E37</f>
        <v>44742</v>
      </c>
      <c r="D75" s="78">
        <f t="shared" si="11"/>
        <v>0.18100000000000002</v>
      </c>
      <c r="E75" s="197"/>
      <c r="F75" s="29">
        <f>MAX(IF(F$56-$C75&lt;365,(SUM($E32:F32)-SUM($E75:E75))*$D75*(F$56-$C75)/365,((SUM($E32:F32)-SUM($E75:E75))*$D75)),0)</f>
        <v>0</v>
      </c>
      <c r="G75" s="29">
        <f>MAX(IF(G$56-$C75&lt;365,(SUM($E32:G32)-SUM($E75:F75))*$D75*(G$56-$C75)/365,((SUM($E32:G32)-SUM($E75:F75))*$D75)),0)</f>
        <v>2.2555079452054803</v>
      </c>
      <c r="H75" s="29">
        <f>MAX(IF(H$56-$C75&lt;365,(SUM($E32:H32)-SUM($E75:G75))*$D75*(H$56-$C75)/365,((SUM($E32:H32)-SUM($E75:G75))*$D75)),0)</f>
        <v>2.5963530619178088</v>
      </c>
      <c r="I75" s="29">
        <f>MAX(IF(I$56-$C75&lt;365,(SUM($E32:I32)-SUM($E75:H75))*$D75*(I$56-$C75)/365,((SUM($E32:I32)-SUM($E75:H75))*$D75)),0)</f>
        <v>2.1264131577106848</v>
      </c>
      <c r="J75" s="29">
        <f>MAX(IF(J$56-$C75&lt;365,(SUM($E32:J32)-SUM($E75:I75))*$D75*(J$56-$C75)/365,((SUM($E32:J32)-SUM($E75:I75))*$D75)),0)</f>
        <v>1.7415323761650514</v>
      </c>
      <c r="K75" s="29">
        <f>MAX(IF(K$56-$C75&lt;365,(SUM($E32:K32)-SUM($E75:J75))*$D75*(K$56-$C75)/365,((SUM($E32:K32)-SUM($E75:J75))*$D75)),0)</f>
        <v>1.4263150160791769</v>
      </c>
      <c r="L75" s="29">
        <f>MAX(IF(L$56-$C75&lt;365,(SUM($E32:L32)-SUM($E75:K75))*$D75*(L$56-$C75)/365,((SUM($E32:L32)-SUM($E75:K75))*$D75)),0)</f>
        <v>1.1681519981688457</v>
      </c>
      <c r="M75" s="29">
        <f>MAX(IF(M$56-$C75&lt;365,(SUM($E32:M32)-SUM($E75:L75))*$D75*(M$56-$C75)/365,((SUM($E32:M32)-SUM($E75:L75))*$D75)),0)</f>
        <v>0.95671648650028462</v>
      </c>
      <c r="N75" s="29">
        <f>MAX(IF(N$56-$C75&lt;365,(SUM($E32:N32)-SUM($E75:M75))*$D75*(N$56-$C75)/365,((SUM($E32:N32)-SUM($E75:M75))*$D75)),0)</f>
        <v>0.78355080244373321</v>
      </c>
      <c r="O75" s="29">
        <f>MAX(IF(O$56-$C75&lt;365,(SUM($E32:O32)-SUM($E75:N75))*$D75*(O$56-$C75)/365,((SUM($E32:O32)-SUM($E75:N75))*$D75)),0)</f>
        <v>0.6417281072014176</v>
      </c>
    </row>
    <row r="76" spans="2:15" x14ac:dyDescent="0.35">
      <c r="B76" s="3" t="s">
        <v>26</v>
      </c>
      <c r="C76" s="79">
        <f>BA!E38</f>
        <v>45473</v>
      </c>
      <c r="D76" s="78">
        <f t="shared" si="11"/>
        <v>0.18100000000000002</v>
      </c>
      <c r="E76" s="197"/>
      <c r="F76" s="29">
        <f>MAX(IF(F$56-$C76&lt;365,(SUM($E33:F33)-SUM($E76:E76))*$D76*(F$56-$C76)/365,((SUM($E33:F33)-SUM($E76:E76))*$D76)),0)</f>
        <v>0</v>
      </c>
      <c r="G76" s="29">
        <f>MAX(IF(G$56-$C76&lt;365,(SUM($E33:G33)-SUM($E76:F76))*$D76*(G$56-$C76)/365,((SUM($E33:G33)-SUM($E76:F76))*$D76)),0)</f>
        <v>0</v>
      </c>
      <c r="H76" s="29">
        <f>MAX(IF(H$56-$C76&lt;365,(SUM($E33:H33)-SUM($E76:G76))*$D76*(H$56-$C76)/365,((SUM($E33:H33)-SUM($E76:G76))*$D76)),0)</f>
        <v>0</v>
      </c>
      <c r="I76" s="29">
        <f>MAX(IF(I$56-$C76&lt;365,(SUM($E33:I33)-SUM($E76:H76))*$D76*(I$56-$C76)/365,((SUM($E33:I33)-SUM($E76:H76))*$D76)),0)</f>
        <v>0.45110158904109598</v>
      </c>
      <c r="J76" s="29">
        <f>MAX(IF(J$56-$C76&lt;365,(SUM($E33:J33)-SUM($E76:I76))*$D76*(J$56-$C76)/365,((SUM($E33:J33)-SUM($E76:I76))*$D76)),0)</f>
        <v>0.51927061238356176</v>
      </c>
      <c r="K76" s="29">
        <f>MAX(IF(K$56-$C76&lt;365,(SUM($E33:K33)-SUM($E76:J76))*$D76*(K$56-$C76)/365,((SUM($E33:K33)-SUM($E76:J76))*$D76)),0)</f>
        <v>0.42528263154213708</v>
      </c>
      <c r="L76" s="29">
        <f>MAX(IF(L$56-$C76&lt;365,(SUM($E33:L33)-SUM($E76:K76))*$D76*(L$56-$C76)/365,((SUM($E33:L33)-SUM($E76:K76))*$D76)),0)</f>
        <v>0.34830647523301023</v>
      </c>
      <c r="M76" s="29">
        <f>MAX(IF(M$56-$C76&lt;365,(SUM($E33:M33)-SUM($E76:L76))*$D76*(M$56-$C76)/365,((SUM($E33:M33)-SUM($E76:L76))*$D76)),0)</f>
        <v>0.28526300321583536</v>
      </c>
      <c r="N76" s="29">
        <f>MAX(IF(N$56-$C76&lt;365,(SUM($E33:N33)-SUM($E76:M76))*$D76*(N$56-$C76)/365,((SUM($E33:N33)-SUM($E76:M76))*$D76)),0)</f>
        <v>0.23363039963376914</v>
      </c>
      <c r="O76" s="29">
        <f>MAX(IF(O$56-$C76&lt;365,(SUM($E33:O33)-SUM($E76:N76))*$D76*(O$56-$C76)/365,((SUM($E33:O33)-SUM($E76:N76))*$D76)),0)</f>
        <v>0.19134329730005695</v>
      </c>
    </row>
    <row r="77" spans="2:15" x14ac:dyDescent="0.35">
      <c r="B77" s="33" t="s">
        <v>84</v>
      </c>
      <c r="C77" s="61"/>
      <c r="D77" s="61"/>
      <c r="E77" s="198"/>
      <c r="F77" s="198">
        <f t="shared" ref="F77:O77" si="12">SUM(F70:F76)</f>
        <v>0</v>
      </c>
      <c r="G77" s="198">
        <f t="shared" si="12"/>
        <v>5.4453230136986317</v>
      </c>
      <c r="H77" s="198">
        <f t="shared" si="12"/>
        <v>19.328373657808228</v>
      </c>
      <c r="I77" s="198">
        <f t="shared" si="12"/>
        <v>28.266512491498361</v>
      </c>
      <c r="J77" s="198">
        <f t="shared" si="12"/>
        <v>23.300092141496059</v>
      </c>
      <c r="K77" s="198">
        <f t="shared" si="12"/>
        <v>31.101175463885276</v>
      </c>
      <c r="L77" s="198">
        <f t="shared" si="12"/>
        <v>25.471862704922039</v>
      </c>
      <c r="M77" s="198">
        <f t="shared" si="12"/>
        <v>20.861455555331151</v>
      </c>
      <c r="N77" s="198">
        <f t="shared" si="12"/>
        <v>17.085532099816213</v>
      </c>
      <c r="O77" s="198">
        <f t="shared" si="12"/>
        <v>13.99305078974948</v>
      </c>
    </row>
    <row r="78" spans="2:15" x14ac:dyDescent="0.35">
      <c r="B78" s="32"/>
      <c r="C78" s="6"/>
      <c r="D78" s="6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29"/>
    </row>
    <row r="79" spans="2:15" x14ac:dyDescent="0.35">
      <c r="B79" s="43" t="s">
        <v>85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2:15" x14ac:dyDescent="0.35">
      <c r="B80" s="58" t="s">
        <v>17</v>
      </c>
      <c r="C80" s="26" t="s">
        <v>86</v>
      </c>
      <c r="D80" s="26" t="s">
        <v>27</v>
      </c>
      <c r="E80" s="204">
        <v>44469</v>
      </c>
      <c r="F80" s="204">
        <v>44651</v>
      </c>
      <c r="G80" s="204">
        <v>45016</v>
      </c>
      <c r="H80" s="204">
        <v>45382</v>
      </c>
      <c r="I80" s="204">
        <v>45747</v>
      </c>
      <c r="J80" s="204">
        <v>46112</v>
      </c>
      <c r="K80" s="204">
        <v>46477</v>
      </c>
      <c r="L80" s="204">
        <v>46843</v>
      </c>
      <c r="M80" s="204">
        <v>47208</v>
      </c>
      <c r="N80" s="204">
        <v>47573</v>
      </c>
      <c r="O80" s="204">
        <v>47938</v>
      </c>
    </row>
    <row r="81" spans="2:15" s="2" customFormat="1" x14ac:dyDescent="0.35">
      <c r="B81" s="82"/>
      <c r="C81" s="80" t="s">
        <v>79</v>
      </c>
      <c r="D81" s="92" t="s">
        <v>27</v>
      </c>
      <c r="E81" s="196" t="s">
        <v>87</v>
      </c>
      <c r="F81" s="196" t="s">
        <v>87</v>
      </c>
      <c r="G81" s="196" t="s">
        <v>87</v>
      </c>
      <c r="H81" s="196" t="s">
        <v>87</v>
      </c>
      <c r="I81" s="196" t="s">
        <v>87</v>
      </c>
      <c r="J81" s="196" t="s">
        <v>87</v>
      </c>
      <c r="K81" s="196" t="s">
        <v>87</v>
      </c>
      <c r="L81" s="196" t="s">
        <v>87</v>
      </c>
      <c r="M81" s="196" t="s">
        <v>87</v>
      </c>
      <c r="N81" s="196" t="s">
        <v>87</v>
      </c>
      <c r="O81" s="196" t="s">
        <v>87</v>
      </c>
    </row>
    <row r="82" spans="2:15" x14ac:dyDescent="0.35">
      <c r="B82" s="3" t="s">
        <v>20</v>
      </c>
      <c r="C82" s="76">
        <f>BA!E19</f>
        <v>44742</v>
      </c>
      <c r="D82" s="78">
        <v>0.1</v>
      </c>
      <c r="E82" s="197"/>
      <c r="F82" s="29">
        <f>MAX(IF(F$80-$C82&lt;365,(SUM($E17:F17)-SUM($E82:E82))*$D82*(F$80-$C82)/365,((SUM($E17:F17)-SUM($E82:E82))*$D82)),0)</f>
        <v>0</v>
      </c>
      <c r="G82" s="29">
        <f>MAX(IF(G$80-$C82&lt;365,(SUM($E17:G17)-SUM($E82:F82))*$D82*(G$80-$C82)/365,((SUM($E17:G17)-SUM($E82:F82))*$D82)),0)</f>
        <v>3.6032876712328776</v>
      </c>
      <c r="H82" s="29">
        <f>MAX(IF(H$80-$C82&lt;365,(SUM($E17:H17)-SUM($E82:G82))*$D82*(H$80-$C82)/365,((SUM($E17:H17)-SUM($E82:G82))*$D82)),0)</f>
        <v>4.4396712328767123</v>
      </c>
      <c r="I82" s="29">
        <f>MAX(IF(I$80-$C82&lt;365,(SUM($E17:I17)-SUM($E82:H82))*$D82*(I$80-$C82)/365,((SUM($E17:I17)-SUM($E82:H82))*$D82)),0)</f>
        <v>3.9957041095890413</v>
      </c>
      <c r="J82" s="29">
        <f>MAX(IF(J$80-$C82&lt;365,(SUM($E17:J17)-SUM($E82:I82))*$D82*(J$80-$C82)/365,((SUM($E17:J17)-SUM($E82:I82))*$D82)),0)</f>
        <v>3.5961336986301369</v>
      </c>
      <c r="K82" s="29">
        <f>MAX(IF(K$80-$C82&lt;365,(SUM($E17:K17)-SUM($E82:J82))*$D82*(K$80-$C82)/365,((SUM($E17:K17)-SUM($E82:J82))*$D82)),0)</f>
        <v>3.2365203287671238</v>
      </c>
      <c r="L82" s="29">
        <f>MAX(IF(L$80-$C82&lt;365,(SUM($E17:L17)-SUM($E82:K82))*$D82*(L$80-$C82)/365,((SUM($E17:L17)-SUM($E82:K82))*$D82)),0)</f>
        <v>2.9128682958904109</v>
      </c>
      <c r="M82" s="29">
        <f>MAX(IF(M$80-$C82&lt;365,(SUM($E17:M17)-SUM($E82:L82))*$D82*(M$80-$C82)/365,((SUM($E17:M17)-SUM($E82:L82))*$D82)),0)</f>
        <v>2.6215814663013699</v>
      </c>
      <c r="N82" s="29">
        <f>MAX(IF(N$80-$C82&lt;365,(SUM($E17:N17)-SUM($E82:M82))*$D82*(N$80-$C82)/365,((SUM($E17:N17)-SUM($E82:M82))*$D82)),0)</f>
        <v>2.3594233196712326</v>
      </c>
      <c r="O82" s="29">
        <f>MAX(IF(O$80-$C82&lt;365,(SUM($E17:O17)-SUM($E82:N82))*$D82*(O$80-$C82)/365,((SUM($E17:O17)-SUM($E82:N82))*$D82)),0)</f>
        <v>2.123480987704109</v>
      </c>
    </row>
    <row r="83" spans="2:15" x14ac:dyDescent="0.35">
      <c r="B83" s="3" t="s">
        <v>21</v>
      </c>
      <c r="C83" s="76">
        <f>BA!E20</f>
        <v>45107</v>
      </c>
      <c r="D83" s="78">
        <v>0.1</v>
      </c>
      <c r="E83" s="197"/>
      <c r="F83" s="29">
        <f>MAX(IF(F$80-$C83&lt;365,(SUM($E18:F18)-SUM($E83:E83))*$D83*(F$80-$C83)/365,((SUM($E18:F18)-SUM($E83:E83))*$D83)),0)</f>
        <v>0</v>
      </c>
      <c r="G83" s="29">
        <f>MAX(IF(G$80-$C83&lt;365,(SUM($E18:G18)-SUM($E83:F83))*$D83*(G$80-$C83)/365,((SUM($E18:G18)-SUM($E83:F83))*$D83)),0)</f>
        <v>0</v>
      </c>
      <c r="H83" s="29">
        <f>MAX(IF(H$80-$C83&lt;365,(SUM($E18:H18)-SUM($E83:G83))*$D83*(H$80-$C83)/365,((SUM($E18:H18)-SUM($E83:G83))*$D83)),0)</f>
        <v>9.3534657534246577</v>
      </c>
      <c r="I83" s="29">
        <f>MAX(IF(I$80-$C83&lt;365,(SUM($E18:I18)-SUM($E83:H83))*$D83*(I$80-$C83)/365,((SUM($E18:I18)-SUM($E83:H83))*$D83)),0)</f>
        <v>11.479253424657536</v>
      </c>
      <c r="J83" s="29">
        <f>MAX(IF(J$80-$C83&lt;365,(SUM($E18:J18)-SUM($E83:I83))*$D83*(J$80-$C83)/365,((SUM($E18:J18)-SUM($E83:I83))*$D83)),0)</f>
        <v>15.297168082191781</v>
      </c>
      <c r="K83" s="29">
        <f>MAX(IF(K$80-$C83&lt;365,(SUM($E18:K18)-SUM($E83:J83))*$D83*(K$80-$C83)/365,((SUM($E18:K18)-SUM($E83:J83))*$D83)),0)</f>
        <v>21.216211273972604</v>
      </c>
      <c r="L83" s="29">
        <f>MAX(IF(L$80-$C83&lt;365,(SUM($E18:L18)-SUM($E83:K83))*$D83*(L$80-$C83)/365,((SUM($E18:L18)-SUM($E83:K83))*$D83)),0)</f>
        <v>19.094590146575339</v>
      </c>
      <c r="M83" s="29">
        <f>MAX(IF(M$80-$C83&lt;365,(SUM($E18:M18)-SUM($E83:L83))*$D83*(M$80-$C83)/365,((SUM($E18:M18)-SUM($E83:L83))*$D83)),0)</f>
        <v>17.185131131917807</v>
      </c>
      <c r="N83" s="29">
        <f>MAX(IF(N$80-$C83&lt;365,(SUM($E18:N18)-SUM($E83:M83))*$D83*(N$80-$C83)/365,((SUM($E18:N18)-SUM($E83:M83))*$D83)),0)</f>
        <v>15.466618018726024</v>
      </c>
      <c r="O83" s="29">
        <f>MAX(IF(O$80-$C83&lt;365,(SUM($E18:O18)-SUM($E83:N83))*$D83*(O$80-$C83)/365,((SUM($E18:O18)-SUM($E83:N83))*$D83)),0)</f>
        <v>13.919956216853421</v>
      </c>
    </row>
    <row r="84" spans="2:15" x14ac:dyDescent="0.35">
      <c r="B84" s="3" t="s">
        <v>22</v>
      </c>
      <c r="C84" s="76">
        <f>BA!E21</f>
        <v>45199</v>
      </c>
      <c r="D84" s="78">
        <v>0.1</v>
      </c>
      <c r="E84" s="197"/>
      <c r="F84" s="29">
        <f>MAX(IF(F$80-$C84&lt;365,(SUM($E19:F19)-SUM($E84:E84))*$D84*(F$80-$C84)/365,((SUM($E19:F19)-SUM($E84:E84))*$D84)),0)</f>
        <v>0</v>
      </c>
      <c r="G84" s="29">
        <f>MAX(IF(G$80-$C84&lt;365,(SUM($E19:G19)-SUM($E84:F84))*$D84*(G$80-$C84)/365,((SUM($E19:G19)-SUM($E84:F84))*$D84)),0)</f>
        <v>0</v>
      </c>
      <c r="H84" s="29">
        <f>MAX(IF(H$80-$C84&lt;365,(SUM($E19:H19)-SUM($E84:G84))*$D84*(H$80-$C84)/365,((SUM($E19:H19)-SUM($E84:G84))*$D84)),0)</f>
        <v>4.8131506849315073</v>
      </c>
      <c r="I84" s="29">
        <f>MAX(IF(I$80-$C84&lt;365,(SUM($E19:I19)-SUM($E84:H84))*$D84*(I$80-$C84)/365,((SUM($E19:I19)-SUM($E84:H84))*$D84)),0)</f>
        <v>9.1186849315068486</v>
      </c>
      <c r="J84" s="29">
        <f>MAX(IF(J$80-$C84&lt;365,(SUM($E19:J19)-SUM($E84:I84))*$D84*(J$80-$C84)/365,((SUM($E19:J19)-SUM($E84:I84))*$D84)),0)</f>
        <v>8.2068164383561655</v>
      </c>
      <c r="K84" s="29">
        <f>MAX(IF(K$80-$C84&lt;365,(SUM($E19:K19)-SUM($E84:J84))*$D84*(K$80-$C84)/365,((SUM($E19:K19)-SUM($E84:J84))*$D84)),0)</f>
        <v>7.3861347945205482</v>
      </c>
      <c r="L84" s="29">
        <f>MAX(IF(L$80-$C84&lt;365,(SUM($E19:L19)-SUM($E84:K84))*$D84*(L$80-$C84)/365,((SUM($E19:L19)-SUM($E84:K84))*$D84)),0)</f>
        <v>6.6475213150684942</v>
      </c>
      <c r="M84" s="29">
        <f>MAX(IF(M$80-$C84&lt;365,(SUM($E19:M19)-SUM($E84:L84))*$D84*(M$80-$C84)/365,((SUM($E19:M19)-SUM($E84:L84))*$D84)),0)</f>
        <v>5.9827691835616443</v>
      </c>
      <c r="N84" s="29">
        <f>MAX(IF(N$80-$C84&lt;365,(SUM($E19:N19)-SUM($E84:M84))*$D84*(N$80-$C84)/365,((SUM($E19:N19)-SUM($E84:M84))*$D84)),0)</f>
        <v>5.3844922652054805</v>
      </c>
      <c r="O84" s="29">
        <f>MAX(IF(O$80-$C84&lt;365,(SUM($E19:O19)-SUM($E84:N84))*$D84*(O$80-$C84)/365,((SUM($E19:O19)-SUM($E84:N84))*$D84)),0)</f>
        <v>4.8460430386849325</v>
      </c>
    </row>
    <row r="85" spans="2:15" x14ac:dyDescent="0.35">
      <c r="B85" s="3" t="s">
        <v>23</v>
      </c>
      <c r="C85" s="76">
        <f>BA!E22</f>
        <v>45016</v>
      </c>
      <c r="D85" s="78">
        <v>0.1</v>
      </c>
      <c r="E85" s="197"/>
      <c r="F85" s="29">
        <f>MAX(IF(F$80-$C85&lt;365,(SUM($E20:F20)-SUM($E85:E85))*$D85*(F$80-$C85)/365,((SUM($E20:F20)-SUM($E85:E85))*$D85)),0)</f>
        <v>0</v>
      </c>
      <c r="G85" s="29">
        <f>MAX(IF(G$80-$C85&lt;365,(SUM($E20:G20)-SUM($E85:F85))*$D85*(G$80-$C85)/365,((SUM($E20:G20)-SUM($E85:F85))*$D85)),0)</f>
        <v>0</v>
      </c>
      <c r="H85" s="29">
        <f>MAX(IF(H$80-$C85&lt;365,(SUM($E20:H20)-SUM($E85:G85))*$D85*(H$80-$C85)/365,((SUM($E20:H20)-SUM($E85:G85))*$D85)),0)</f>
        <v>9.6000000000000014</v>
      </c>
      <c r="I85" s="29">
        <f>MAX(IF(I$80-$C85&lt;365,(SUM($E20:I20)-SUM($E85:H85))*$D85*(I$80-$C85)/365,((SUM($E20:I20)-SUM($E85:H85))*$D85)),0)</f>
        <v>8.64</v>
      </c>
      <c r="J85" s="29">
        <f>MAX(IF(J$80-$C85&lt;365,(SUM($E20:J20)-SUM($E85:I85))*$D85*(J$80-$C85)/365,((SUM($E20:J20)-SUM($E85:I85))*$D85)),0)</f>
        <v>7.7759999999999998</v>
      </c>
      <c r="K85" s="29">
        <f>MAX(IF(K$80-$C85&lt;365,(SUM($E20:K20)-SUM($E85:J85))*$D85*(K$80-$C85)/365,((SUM($E20:K20)-SUM($E85:J85))*$D85)),0)</f>
        <v>6.9984000000000002</v>
      </c>
      <c r="L85" s="29">
        <f>MAX(IF(L$80-$C85&lt;365,(SUM($E20:L20)-SUM($E85:K85))*$D85*(L$80-$C85)/365,((SUM($E20:L20)-SUM($E85:K85))*$D85)),0)</f>
        <v>6.2985600000000002</v>
      </c>
      <c r="M85" s="29">
        <f>MAX(IF(M$80-$C85&lt;365,(SUM($E20:M20)-SUM($E85:L85))*$D85*(M$80-$C85)/365,((SUM($E20:M20)-SUM($E85:L85))*$D85)),0)</f>
        <v>5.668704</v>
      </c>
      <c r="N85" s="29">
        <f>MAX(IF(N$80-$C85&lt;365,(SUM($E20:N20)-SUM($E85:M85))*$D85*(N$80-$C85)/365,((SUM($E20:N20)-SUM($E85:M85))*$D85)),0)</f>
        <v>5.1018336</v>
      </c>
      <c r="O85" s="29">
        <f>MAX(IF(O$80-$C85&lt;365,(SUM($E20:O20)-SUM($E85:N85))*$D85*(O$80-$C85)/365,((SUM($E20:O20)-SUM($E85:N85))*$D85)),0)</f>
        <v>4.5916502399999999</v>
      </c>
    </row>
    <row r="86" spans="2:15" x14ac:dyDescent="0.35">
      <c r="B86" s="3" t="s">
        <v>24</v>
      </c>
      <c r="C86" s="76">
        <f>BA!E23</f>
        <v>44651</v>
      </c>
      <c r="D86" s="78">
        <v>0.1</v>
      </c>
      <c r="E86" s="197"/>
      <c r="F86" s="29">
        <f>MAX(IF(F$80-$C86&lt;365,(SUM($E21:F21)-SUM($E86:E86))*$D86*(F$80-$C86)/365,((SUM($E21:F21)-SUM($E86:E86))*$D86)),0)</f>
        <v>0</v>
      </c>
      <c r="G86" s="29">
        <f>MAX(IF(G$80-$C86&lt;365,(SUM($E21:G21)-SUM($E86:F86))*$D86*(G$80-$C86)/365,((SUM($E21:G21)-SUM($E86:F86))*$D86)),0)</f>
        <v>3.2408640000000002</v>
      </c>
      <c r="H86" s="29">
        <f>MAX(IF(H$80-$C86&lt;365,(SUM($E21:H21)-SUM($E86:G86))*$D86*(H$80-$C86)/365,((SUM($E21:H21)-SUM($E86:G86))*$D86)),0)</f>
        <v>2.9167775999999996</v>
      </c>
      <c r="I86" s="29">
        <f>MAX(IF(I$80-$C86&lt;365,(SUM($E21:I21)-SUM($E86:H86))*$D86*(I$80-$C86)/365,((SUM($E21:I21)-SUM($E86:H86))*$D86)),0)</f>
        <v>2.6250998400000003</v>
      </c>
      <c r="J86" s="29">
        <f>MAX(IF(J$80-$C86&lt;365,(SUM($E21:J21)-SUM($E86:I86))*$D86*(J$80-$C86)/365,((SUM($E21:J21)-SUM($E86:I86))*$D86)),0)</f>
        <v>2.3625898559999996</v>
      </c>
      <c r="K86" s="29">
        <f>MAX(IF(K$80-$C86&lt;365,(SUM($E21:K21)-SUM($E86:J86))*$D86*(K$80-$C86)/365,((SUM($E21:K21)-SUM($E86:J86))*$D86)),0)</f>
        <v>2.1263308703999999</v>
      </c>
      <c r="L86" s="29">
        <f>MAX(IF(L$80-$C86&lt;365,(SUM($E21:L21)-SUM($E86:K86))*$D86*(L$80-$C86)/365,((SUM($E21:L21)-SUM($E86:K86))*$D86)),0)</f>
        <v>1.91369778336</v>
      </c>
      <c r="M86" s="29">
        <f>MAX(IF(M$80-$C86&lt;365,(SUM($E21:M21)-SUM($E86:L86))*$D86*(M$80-$C86)/365,((SUM($E21:M21)-SUM($E86:L86))*$D86)),0)</f>
        <v>1.722328005024</v>
      </c>
      <c r="N86" s="29">
        <f>MAX(IF(N$80-$C86&lt;365,(SUM($E21:N21)-SUM($E86:M86))*$D86*(N$80-$C86)/365,((SUM($E21:N21)-SUM($E86:M86))*$D86)),0)</f>
        <v>1.5500952045215997</v>
      </c>
      <c r="O86" s="29">
        <f>MAX(IF(O$80-$C86&lt;365,(SUM($E21:O21)-SUM($E86:N86))*$D86*(O$80-$C86)/365,((SUM($E21:O21)-SUM($E86:N86))*$D86)),0)</f>
        <v>1.3950856840694397</v>
      </c>
    </row>
    <row r="87" spans="2:15" x14ac:dyDescent="0.35">
      <c r="B87" s="3" t="s">
        <v>25</v>
      </c>
      <c r="C87" s="76">
        <f>BA!E24</f>
        <v>44651</v>
      </c>
      <c r="D87" s="78">
        <v>0.1</v>
      </c>
      <c r="E87" s="197"/>
      <c r="F87" s="29">
        <f>MAX(IF(F$80-$C87&lt;365,(SUM($E22:F22)-SUM($E87:E87))*$D87*(F$80-$C87)/365,((SUM($E22:F22)-SUM($E87:E87))*$D87)),0)</f>
        <v>0</v>
      </c>
      <c r="G87" s="29">
        <f>MAX(IF(G$80-$C87&lt;365,(SUM($E22:G22)-SUM($E87:F87))*$D87*(G$80-$C87)/365,((SUM($E22:G22)-SUM($E87:F87))*$D87)),0)</f>
        <v>4.8000000000000007</v>
      </c>
      <c r="H87" s="29">
        <f>MAX(IF(H$80-$C87&lt;365,(SUM($E22:H22)-SUM($E87:G87))*$D87*(H$80-$C87)/365,((SUM($E22:H22)-SUM($E87:G87))*$D87)),0)</f>
        <v>4.32</v>
      </c>
      <c r="I87" s="29">
        <f>MAX(IF(I$80-$C87&lt;365,(SUM($E22:I22)-SUM($E87:H87))*$D87*(I$80-$C87)/365,((SUM($E22:I22)-SUM($E87:H87))*$D87)),0)</f>
        <v>3.8879999999999999</v>
      </c>
      <c r="J87" s="29">
        <f>MAX(IF(J$80-$C87&lt;365,(SUM($E22:J22)-SUM($E87:I87))*$D87*(J$80-$C87)/365,((SUM($E22:J22)-SUM($E87:I87))*$D87)),0)</f>
        <v>3.4992000000000001</v>
      </c>
      <c r="K87" s="29">
        <f>MAX(IF(K$80-$C87&lt;365,(SUM($E22:K22)-SUM($E87:J87))*$D87*(K$80-$C87)/365,((SUM($E22:K22)-SUM($E87:J87))*$D87)),0)</f>
        <v>3.1492800000000001</v>
      </c>
      <c r="L87" s="29">
        <f>MAX(IF(L$80-$C87&lt;365,(SUM($E22:L22)-SUM($E87:K87))*$D87*(L$80-$C87)/365,((SUM($E22:L22)-SUM($E87:K87))*$D87)),0)</f>
        <v>2.834352</v>
      </c>
      <c r="M87" s="29">
        <f>MAX(IF(M$80-$C87&lt;365,(SUM($E22:M22)-SUM($E87:L87))*$D87*(M$80-$C87)/365,((SUM($E22:M22)-SUM($E87:L87))*$D87)),0)</f>
        <v>2.5509168</v>
      </c>
      <c r="N87" s="29">
        <f>MAX(IF(N$80-$C87&lt;365,(SUM($E22:N22)-SUM($E87:M87))*$D87*(N$80-$C87)/365,((SUM($E22:N22)-SUM($E87:M87))*$D87)),0)</f>
        <v>2.2958251199999999</v>
      </c>
      <c r="O87" s="29">
        <f>MAX(IF(O$80-$C87&lt;365,(SUM($E22:O22)-SUM($E87:N87))*$D87*(O$80-$C87)/365,((SUM($E22:O22)-SUM($E87:N87))*$D87)),0)</f>
        <v>2.066242608</v>
      </c>
    </row>
    <row r="88" spans="2:15" x14ac:dyDescent="0.35">
      <c r="B88" s="3" t="s">
        <v>26</v>
      </c>
      <c r="C88" s="76">
        <f>BA!E25</f>
        <v>45382</v>
      </c>
      <c r="D88" s="78">
        <v>0.1</v>
      </c>
      <c r="E88" s="197"/>
      <c r="F88" s="29">
        <f>MAX(IF(F$80-$C88&lt;365,(SUM($E23:F23)-SUM($E88:E88))*$D88*(F$80-$C88)/365,((SUM($E23:F23)-SUM($E88:E88))*$D88)),0)</f>
        <v>0</v>
      </c>
      <c r="G88" s="29">
        <f>MAX(IF(G$80-$C88&lt;365,(SUM($E23:G23)-SUM($E88:F88))*$D88*(G$80-$C88)/365,((SUM($E23:G23)-SUM($E88:F88))*$D88)),0)</f>
        <v>0</v>
      </c>
      <c r="H88" s="29">
        <f>MAX(IF(H$80-$C88&lt;365,(SUM($E23:H23)-SUM($E88:G88))*$D88*(H$80-$C88)/365,((SUM($E23:H23)-SUM($E88:G88))*$D88)),0)</f>
        <v>0</v>
      </c>
      <c r="I88" s="29">
        <f>MAX(IF(I$80-$C88&lt;365,(SUM($E23:I23)-SUM($E88:H88))*$D88*(I$80-$C88)/365,((SUM($E23:I23)-SUM($E88:H88))*$D88)),0)</f>
        <v>0.96</v>
      </c>
      <c r="J88" s="29">
        <f>MAX(IF(J$80-$C88&lt;365,(SUM($E23:J23)-SUM($E88:I88))*$D88*(J$80-$C88)/365,((SUM($E23:J23)-SUM($E88:I88))*$D88)),0)</f>
        <v>0.8640000000000001</v>
      </c>
      <c r="K88" s="29">
        <f>MAX(IF(K$80-$C88&lt;365,(SUM($E23:K23)-SUM($E88:J88))*$D88*(K$80-$C88)/365,((SUM($E23:K23)-SUM($E88:J88))*$D88)),0)</f>
        <v>0.77760000000000007</v>
      </c>
      <c r="L88" s="29">
        <f>MAX(IF(L$80-$C88&lt;365,(SUM($E23:L23)-SUM($E88:K88))*$D88*(L$80-$C88)/365,((SUM($E23:L23)-SUM($E88:K88))*$D88)),0)</f>
        <v>0.69984000000000002</v>
      </c>
      <c r="M88" s="29">
        <f>MAX(IF(M$80-$C88&lt;365,(SUM($E23:M23)-SUM($E88:L88))*$D88*(M$80-$C88)/365,((SUM($E23:M23)-SUM($E88:L88))*$D88)),0)</f>
        <v>0.62985599999999997</v>
      </c>
      <c r="N88" s="29">
        <f>MAX(IF(N$80-$C88&lt;365,(SUM($E23:N23)-SUM($E88:M88))*$D88*(N$80-$C88)/365,((SUM($E23:N23)-SUM($E88:M88))*$D88)),0)</f>
        <v>0.56687039999999989</v>
      </c>
      <c r="O88" s="29">
        <f>MAX(IF(O$80-$C88&lt;365,(SUM($E23:O23)-SUM($E88:N88))*$D88*(O$80-$C88)/365,((SUM($E23:O23)-SUM($E88:N88))*$D88)),0)</f>
        <v>0.51018335999999997</v>
      </c>
    </row>
    <row r="89" spans="2:15" x14ac:dyDescent="0.35">
      <c r="B89" s="32"/>
      <c r="C89" s="21"/>
      <c r="D89" s="40"/>
      <c r="E89" s="197"/>
      <c r="F89" s="197"/>
      <c r="G89" s="197"/>
      <c r="H89" s="197"/>
      <c r="I89" s="197"/>
      <c r="J89" s="197"/>
      <c r="K89" s="197"/>
      <c r="L89" s="197"/>
      <c r="M89" s="29"/>
      <c r="N89" s="29"/>
      <c r="O89" s="29"/>
    </row>
    <row r="90" spans="2:15" x14ac:dyDescent="0.35">
      <c r="B90" s="33" t="s">
        <v>82</v>
      </c>
      <c r="C90" s="62"/>
      <c r="D90" s="62"/>
      <c r="E90" s="198"/>
      <c r="F90" s="198">
        <f t="shared" ref="F90:O90" si="13">SUM(F82:F88)</f>
        <v>0</v>
      </c>
      <c r="G90" s="198">
        <f t="shared" si="13"/>
        <v>11.644151671232878</v>
      </c>
      <c r="H90" s="198">
        <f t="shared" si="13"/>
        <v>35.443065271232882</v>
      </c>
      <c r="I90" s="198">
        <f t="shared" si="13"/>
        <v>40.706742305753423</v>
      </c>
      <c r="J90" s="198">
        <f t="shared" si="13"/>
        <v>41.601908075178081</v>
      </c>
      <c r="K90" s="198">
        <f t="shared" si="13"/>
        <v>44.890477267660273</v>
      </c>
      <c r="L90" s="198">
        <f t="shared" si="13"/>
        <v>40.401429540894249</v>
      </c>
      <c r="M90" s="198">
        <f t="shared" si="13"/>
        <v>36.361286586804823</v>
      </c>
      <c r="N90" s="198">
        <f t="shared" si="13"/>
        <v>32.725157928124332</v>
      </c>
      <c r="O90" s="198">
        <f t="shared" si="13"/>
        <v>29.452642135311901</v>
      </c>
    </row>
    <row r="91" spans="2:15" x14ac:dyDescent="0.35">
      <c r="B91" s="32"/>
      <c r="C91" s="6"/>
      <c r="D91" s="6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</row>
    <row r="92" spans="2:15" x14ac:dyDescent="0.35">
      <c r="B92" s="82" t="s">
        <v>78</v>
      </c>
      <c r="C92" s="6"/>
      <c r="D92" s="6"/>
      <c r="E92" s="196" t="s">
        <v>87</v>
      </c>
      <c r="F92" s="196" t="s">
        <v>87</v>
      </c>
      <c r="G92" s="196" t="s">
        <v>87</v>
      </c>
      <c r="H92" s="196" t="s">
        <v>87</v>
      </c>
      <c r="I92" s="196" t="s">
        <v>87</v>
      </c>
      <c r="J92" s="196" t="s">
        <v>87</v>
      </c>
      <c r="K92" s="196" t="s">
        <v>87</v>
      </c>
      <c r="L92" s="196" t="s">
        <v>87</v>
      </c>
      <c r="M92" s="196" t="s">
        <v>87</v>
      </c>
      <c r="N92" s="196" t="s">
        <v>87</v>
      </c>
      <c r="O92" s="196" t="s">
        <v>87</v>
      </c>
    </row>
    <row r="93" spans="2:15" x14ac:dyDescent="0.35">
      <c r="B93" s="3" t="s">
        <v>20</v>
      </c>
      <c r="C93" s="79">
        <f>BA!E32</f>
        <v>44834</v>
      </c>
      <c r="D93" s="78">
        <v>0.15</v>
      </c>
      <c r="E93" s="197"/>
      <c r="F93" s="29">
        <f>MAX(IF(F$80-$C93&lt;365,(SUM($E27:F27)-SUM($E93:E93))*$D93*(F$80-$C93)/365,((SUM($E27:F27)-SUM($E93:E93))*$D93)),0)</f>
        <v>0</v>
      </c>
      <c r="G93" s="29">
        <f>MAX(IF(G$80-$C93&lt;365,(SUM($E27:G27)-SUM($E93:F93))*$D93*(G$80-$C93)/365,((SUM($E27:G27)-SUM($E93:F93))*$D93)),0)</f>
        <v>1.2415890410958905</v>
      </c>
      <c r="H93" s="29">
        <f>MAX(IF(H$80-$C93&lt;365,(SUM($E27:H27)-SUM($E93:G93))*$D93*(H$80-$C93)/365,((SUM($E27:H27)-SUM($E93:G93))*$D93)),0)</f>
        <v>2.3037616438356165</v>
      </c>
      <c r="I93" s="29">
        <f>MAX(IF(I$80-$C93&lt;365,(SUM($E27:I27)-SUM($E93:H93))*$D93*(I$80-$C93)/365,((SUM($E27:I27)-SUM($E93:H93))*$D93)),0)</f>
        <v>1.9581973972602742</v>
      </c>
      <c r="J93" s="29">
        <f>MAX(IF(J$80-$C93&lt;365,(SUM($E27:J27)-SUM($E93:I93))*$D93*(J$80-$C93)/365,((SUM($E27:J27)-SUM($E93:I93))*$D93)),0)</f>
        <v>1.664467787671233</v>
      </c>
      <c r="K93" s="29">
        <f>MAX(IF(K$80-$C93&lt;365,(SUM($E27:K27)-SUM($E93:J93))*$D93*(K$80-$C93)/365,((SUM($E27:K27)-SUM($E93:J93))*$D93)),0)</f>
        <v>1.4147976195205481</v>
      </c>
      <c r="L93" s="29">
        <f>MAX(IF(L$80-$C93&lt;365,(SUM($E27:L27)-SUM($E93:K93))*$D93*(L$80-$C93)/365,((SUM($E27:L27)-SUM($E93:K93))*$D93)),0)</f>
        <v>1.2025779765924658</v>
      </c>
      <c r="M93" s="29">
        <f>MAX(IF(M$80-$C93&lt;365,(SUM($E27:M27)-SUM($E93:L93))*$D93*(M$80-$C93)/365,((SUM($E27:M27)-SUM($E93:L93))*$D93)),0)</f>
        <v>1.0221912801035959</v>
      </c>
      <c r="N93" s="29">
        <f>MAX(IF(N$80-$C93&lt;365,(SUM($E27:N27)-SUM($E93:M93))*$D93*(N$80-$C93)/365,((SUM($E27:N27)-SUM($E93:M93))*$D93)),0)</f>
        <v>0.8688625880880565</v>
      </c>
      <c r="O93" s="29">
        <f>MAX(IF(O$80-$C93&lt;365,(SUM($E27:O27)-SUM($E93:N93))*$D93*(O$80-$C93)/365,((SUM($E27:O27)-SUM($E93:N93))*$D93)),0)</f>
        <v>0.738533199874848</v>
      </c>
    </row>
    <row r="94" spans="2:15" x14ac:dyDescent="0.35">
      <c r="B94" s="3" t="s">
        <v>21</v>
      </c>
      <c r="C94" s="79">
        <f>BA!E33</f>
        <v>45199</v>
      </c>
      <c r="D94" s="78">
        <v>0.15</v>
      </c>
      <c r="E94" s="197"/>
      <c r="F94" s="29">
        <f>MAX(IF(F$80-$C94&lt;365,(SUM($E28:F28)-SUM($E94:E94))*$D94*(F$80-$C94)/365,((SUM($E28:F28)-SUM($E94:E94))*$D94)),0)</f>
        <v>0</v>
      </c>
      <c r="G94" s="29">
        <f>MAX(IF(G$80-$C94&lt;365,(SUM($E28:G28)-SUM($E94:F94))*$D94*(G$80-$C94)/365,((SUM($E28:G28)-SUM($E94:F94))*$D94)),0)</f>
        <v>0</v>
      </c>
      <c r="H94" s="29">
        <f>MAX(IF(H$80-$C94&lt;365,(SUM($E28:H28)-SUM($E94:G94))*$D94*(H$80-$C94)/365,((SUM($E28:H28)-SUM($E94:G94))*$D94)),0)</f>
        <v>4.9936438356164388</v>
      </c>
      <c r="I94" s="29">
        <f>MAX(IF(I$80-$C94&lt;365,(SUM($E28:I28)-SUM($E94:H94))*$D94*(I$80-$C94)/365,((SUM($E28:I28)-SUM($E94:H94))*$D94)),0)</f>
        <v>9.210953424657534</v>
      </c>
      <c r="J94" s="29">
        <f>MAX(IF(J$80-$C94&lt;365,(SUM($E28:J28)-SUM($E94:I94))*$D94*(J$80-$C94)/365,((SUM($E28:J28)-SUM($E94:I94))*$D94)),0)</f>
        <v>7.8293104109589047</v>
      </c>
      <c r="K94" s="29">
        <f>MAX(IF(K$80-$C94&lt;365,(SUM($E28:K28)-SUM($E94:J94))*$D94*(K$80-$C94)/365,((SUM($E28:K28)-SUM($E94:J94))*$D94)),0)</f>
        <v>16.614913849315069</v>
      </c>
      <c r="L94" s="29">
        <f>MAX(IF(L$80-$C94&lt;365,(SUM($E28:L28)-SUM($E94:K94))*$D94*(L$80-$C94)/365,((SUM($E28:L28)-SUM($E94:K94))*$D94)),0)</f>
        <v>14.122676771917808</v>
      </c>
      <c r="M94" s="29">
        <f>MAX(IF(M$80-$C94&lt;365,(SUM($E28:M28)-SUM($E94:L94))*$D94*(M$80-$C94)/365,((SUM($E28:M28)-SUM($E94:L94))*$D94)),0)</f>
        <v>12.004275256130137</v>
      </c>
      <c r="N94" s="29">
        <f>MAX(IF(N$80-$C94&lt;365,(SUM($E28:N28)-SUM($E94:M94))*$D94*(N$80-$C94)/365,((SUM($E28:N28)-SUM($E94:M94))*$D94)),0)</f>
        <v>10.203633967710617</v>
      </c>
      <c r="O94" s="29">
        <f>MAX(IF(O$80-$C94&lt;365,(SUM($E28:O28)-SUM($E94:N94))*$D94*(O$80-$C94)/365,((SUM($E28:O28)-SUM($E94:N94))*$D94)),0)</f>
        <v>8.6730888725540254</v>
      </c>
    </row>
    <row r="95" spans="2:15" x14ac:dyDescent="0.35">
      <c r="B95" s="3" t="s">
        <v>22</v>
      </c>
      <c r="C95" s="79">
        <f>BA!E34</f>
        <v>45291</v>
      </c>
      <c r="D95" s="78">
        <v>0.15</v>
      </c>
      <c r="E95" s="197"/>
      <c r="F95" s="29">
        <f>MAX(IF(F$80-$C95&lt;365,(SUM($E29:F29)-SUM($E95:E95))*$D95*(F$80-$C95)/365,((SUM($E29:F29)-SUM($E95:E95))*$D95)),0)</f>
        <v>0</v>
      </c>
      <c r="G95" s="29">
        <f>MAX(IF(G$80-$C95&lt;365,(SUM($E29:G29)-SUM($E95:F95))*$D95*(G$80-$C95)/365,((SUM($E29:G29)-SUM($E95:F95))*$D95)),0)</f>
        <v>0</v>
      </c>
      <c r="H95" s="29">
        <f>MAX(IF(H$80-$C95&lt;365,(SUM($E29:H29)-SUM($E95:G95))*$D95*(H$80-$C95)/365,((SUM($E29:H29)-SUM($E95:G95))*$D95)),0)</f>
        <v>1.2415890410958905</v>
      </c>
      <c r="I95" s="29">
        <f>MAX(IF(I$80-$C95&lt;365,(SUM($E29:I29)-SUM($E95:H95))*$D95*(I$80-$C95)/365,((SUM($E29:I29)-SUM($E95:H95))*$D95)),0)</f>
        <v>4.7937616438356168</v>
      </c>
      <c r="J95" s="29">
        <f>MAX(IF(J$80-$C95&lt;365,(SUM($E29:J29)-SUM($E95:I95))*$D95*(J$80-$C95)/365,((SUM($E29:J29)-SUM($E95:I95))*$D95)),0)</f>
        <v>4.074697397260274</v>
      </c>
      <c r="K95" s="29">
        <f>MAX(IF(K$80-$C95&lt;365,(SUM($E29:K29)-SUM($E95:J95))*$D95*(K$80-$C95)/365,((SUM($E29:K29)-SUM($E95:J95))*$D95)),0)</f>
        <v>3.4634927876712331</v>
      </c>
      <c r="L95" s="29">
        <f>MAX(IF(L$80-$C95&lt;365,(SUM($E29:L29)-SUM($E95:K95))*$D95*(L$80-$C95)/365,((SUM($E29:L29)-SUM($E95:K95))*$D95)),0)</f>
        <v>2.9439688695205479</v>
      </c>
      <c r="M95" s="29">
        <f>MAX(IF(M$80-$C95&lt;365,(SUM($E29:M29)-SUM($E95:L95))*$D95*(M$80-$C95)/365,((SUM($E29:M29)-SUM($E95:L95))*$D95)),0)</f>
        <v>2.5023735390924657</v>
      </c>
      <c r="N95" s="29">
        <f>MAX(IF(N$80-$C95&lt;365,(SUM($E29:N29)-SUM($E95:M95))*$D95*(N$80-$C95)/365,((SUM($E29:N29)-SUM($E95:M95))*$D95)),0)</f>
        <v>2.127017508228596</v>
      </c>
      <c r="O95" s="29">
        <f>MAX(IF(O$80-$C95&lt;365,(SUM($E29:O29)-SUM($E95:N95))*$D95*(O$80-$C95)/365,((SUM($E29:O29)-SUM($E95:N95))*$D95)),0)</f>
        <v>1.8079648819943062</v>
      </c>
    </row>
    <row r="96" spans="2:15" x14ac:dyDescent="0.35">
      <c r="B96" s="3" t="s">
        <v>23</v>
      </c>
      <c r="C96" s="79">
        <f>BA!E35</f>
        <v>45107</v>
      </c>
      <c r="D96" s="78">
        <v>0.15</v>
      </c>
      <c r="E96" s="197"/>
      <c r="F96" s="29">
        <f>MAX(IF(F$80-$C96&lt;365,(SUM($E30:F30)-SUM($E96:E96))*$D96*(F$80-$C96)/365,((SUM($E30:F30)-SUM($E96:E96))*$D96)),0)</f>
        <v>0</v>
      </c>
      <c r="G96" s="29">
        <f>MAX(IF(G$80-$C96&lt;365,(SUM($E30:G30)-SUM($E96:F96))*$D96*(G$80-$C96)/365,((SUM($E30:G30)-SUM($E96:F96))*$D96)),0)</f>
        <v>0</v>
      </c>
      <c r="H96" s="29">
        <f>MAX(IF(H$80-$C96&lt;365,(SUM($E30:H30)-SUM($E96:G96))*$D96*(H$80-$C96)/365,((SUM($E30:H30)-SUM($E96:G96))*$D96)),0)</f>
        <v>3.7520547945205487</v>
      </c>
      <c r="I96" s="29">
        <f>MAX(IF(I$80-$C96&lt;365,(SUM($E30:I30)-SUM($E96:H96))*$D96*(I$80-$C96)/365,((SUM($E30:I30)-SUM($E96:H96))*$D96)),0)</f>
        <v>4.4171917808219181</v>
      </c>
      <c r="J96" s="29">
        <f>MAX(IF(J$80-$C96&lt;365,(SUM($E30:J30)-SUM($E96:I96))*$D96*(J$80-$C96)/365,((SUM($E30:J30)-SUM($E96:I96))*$D96)),0)</f>
        <v>3.7546130136986302</v>
      </c>
      <c r="K96" s="29">
        <f>MAX(IF(K$80-$C96&lt;365,(SUM($E30:K30)-SUM($E96:J96))*$D96*(K$80-$C96)/365,((SUM($E30:K30)-SUM($E96:J96))*$D96)),0)</f>
        <v>3.1914210616438359</v>
      </c>
      <c r="L96" s="29">
        <f>MAX(IF(L$80-$C96&lt;365,(SUM($E30:L30)-SUM($E96:K96))*$D96*(L$80-$C96)/365,((SUM($E30:L30)-SUM($E96:K96))*$D96)),0)</f>
        <v>2.7127079023972605</v>
      </c>
      <c r="M96" s="29">
        <f>MAX(IF(M$80-$C96&lt;365,(SUM($E30:M30)-SUM($E96:L96))*$D96*(M$80-$C96)/365,((SUM($E30:M30)-SUM($E96:L96))*$D96)),0)</f>
        <v>2.3058017170376712</v>
      </c>
      <c r="N96" s="29">
        <f>MAX(IF(N$80-$C96&lt;365,(SUM($E30:N30)-SUM($E96:M96))*$D96*(N$80-$C96)/365,((SUM($E30:N30)-SUM($E96:M96))*$D96)),0)</f>
        <v>1.9599314594820207</v>
      </c>
      <c r="O96" s="29">
        <f>MAX(IF(O$80-$C96&lt;365,(SUM($E30:O30)-SUM($E96:N96))*$D96*(O$80-$C96)/365,((SUM($E30:O30)-SUM($E96:N96))*$D96)),0)</f>
        <v>1.6659417405597177</v>
      </c>
    </row>
    <row r="97" spans="2:17" x14ac:dyDescent="0.35">
      <c r="B97" s="3" t="s">
        <v>24</v>
      </c>
      <c r="C97" s="79">
        <f>BA!E36</f>
        <v>44742</v>
      </c>
      <c r="D97" s="78">
        <v>0.15</v>
      </c>
      <c r="E97" s="197"/>
      <c r="F97" s="29">
        <f>MAX(IF(F$80-$C97&lt;365,(SUM($E31:F31)-SUM($E97:E97))*$D97*(F$80-$C97)/365,((SUM($E31:F31)-SUM($E97:E97))*$D97)),0)</f>
        <v>0</v>
      </c>
      <c r="G97" s="29">
        <f>MAX(IF(G$80-$C97&lt;365,(SUM($E31:G31)-SUM($E97:F97))*$D97*(G$80-$C97)/365,((SUM($E31:G31)-SUM($E97:F97))*$D97)),0)</f>
        <v>1.4019041095890414</v>
      </c>
      <c r="H97" s="29">
        <f>MAX(IF(H$80-$C97&lt;365,(SUM($E31:H31)-SUM($E97:G97))*$D97*(H$80-$C97)/365,((SUM($E31:H31)-SUM($E97:G97))*$D97)),0)</f>
        <v>1.6572143835616442</v>
      </c>
      <c r="I97" s="29">
        <f>MAX(IF(I$80-$C97&lt;365,(SUM($E31:I31)-SUM($E97:H97))*$D97*(I$80-$C97)/365,((SUM($E31:I31)-SUM($E97:H97))*$D97)),0)</f>
        <v>1.4086322260273978</v>
      </c>
      <c r="J97" s="29">
        <f>MAX(IF(J$80-$C97&lt;365,(SUM($E31:J31)-SUM($E97:I97))*$D97*(J$80-$C97)/365,((SUM($E31:J31)-SUM($E97:I97))*$D97)),0)</f>
        <v>1.1973373921232879</v>
      </c>
      <c r="K97" s="29">
        <f>MAX(IF(K$80-$C97&lt;365,(SUM($E31:K31)-SUM($E97:J97))*$D97*(K$80-$C97)/365,((SUM($E31:K31)-SUM($E97:J97))*$D97)),0)</f>
        <v>1.0177367833047948</v>
      </c>
      <c r="L97" s="29">
        <f>MAX(IF(L$80-$C97&lt;365,(SUM($E31:L31)-SUM($E97:K97))*$D97*(L$80-$C97)/365,((SUM($E31:L31)-SUM($E97:K97))*$D97)),0)</f>
        <v>0.8650762658090756</v>
      </c>
      <c r="M97" s="29">
        <f>MAX(IF(M$80-$C97&lt;365,(SUM($E31:M31)-SUM($E97:L97))*$D97*(M$80-$C97)/365,((SUM($E31:M31)-SUM($E97:L97))*$D97)),0)</f>
        <v>0.73531482593771436</v>
      </c>
      <c r="N97" s="29">
        <f>MAX(IF(N$80-$C97&lt;365,(SUM($E31:N31)-SUM($E97:M97))*$D97*(N$80-$C97)/365,((SUM($E31:N31)-SUM($E97:M97))*$D97)),0)</f>
        <v>0.62501760204705714</v>
      </c>
      <c r="O97" s="29">
        <f>MAX(IF(O$80-$C97&lt;365,(SUM($E31:O31)-SUM($E97:N97))*$D97*(O$80-$C97)/365,((SUM($E31:O31)-SUM($E97:N97))*$D97)),0)</f>
        <v>0.5312649617399986</v>
      </c>
    </row>
    <row r="98" spans="2:17" x14ac:dyDescent="0.35">
      <c r="B98" s="3" t="s">
        <v>25</v>
      </c>
      <c r="C98" s="79">
        <f>BA!E37</f>
        <v>44742</v>
      </c>
      <c r="D98" s="78">
        <v>0.15</v>
      </c>
      <c r="E98" s="197"/>
      <c r="F98" s="29">
        <f>MAX(IF(F$80-$C98&lt;365,(SUM($E32:F32)-SUM($E98:E98))*$D98*(F$80-$C98)/365,((SUM($E32:F32)-SUM($E98:E98))*$D98)),0)</f>
        <v>0</v>
      </c>
      <c r="G98" s="29">
        <f>MAX(IF(G$80-$C98&lt;365,(SUM($E32:G32)-SUM($E98:F98))*$D98*(G$80-$C98)/365,((SUM($E32:G32)-SUM($E98:F98))*$D98)),0)</f>
        <v>1.8692054794520552</v>
      </c>
      <c r="H98" s="29">
        <f>MAX(IF(H$80-$C98&lt;365,(SUM($E32:H32)-SUM($E98:G98))*$D98*(H$80-$C98)/365,((SUM($E32:H32)-SUM($E98:G98))*$D98)),0)</f>
        <v>2.2096191780821917</v>
      </c>
      <c r="I98" s="29">
        <f>MAX(IF(I$80-$C98&lt;365,(SUM($E32:I32)-SUM($E98:H98))*$D98*(I$80-$C98)/365,((SUM($E32:I32)-SUM($E98:H98))*$D98)),0)</f>
        <v>1.8781763013698631</v>
      </c>
      <c r="J98" s="29">
        <f>MAX(IF(J$80-$C98&lt;365,(SUM($E32:J32)-SUM($E98:I98))*$D98*(J$80-$C98)/365,((SUM($E32:J32)-SUM($E98:I98))*$D98)),0)</f>
        <v>1.5964498561643836</v>
      </c>
      <c r="K98" s="29">
        <f>MAX(IF(K$80-$C98&lt;365,(SUM($E32:K32)-SUM($E98:J98))*$D98*(K$80-$C98)/365,((SUM($E32:K32)-SUM($E98:J98))*$D98)),0)</f>
        <v>1.3569823777397261</v>
      </c>
      <c r="L98" s="29">
        <f>MAX(IF(L$80-$C98&lt;365,(SUM($E32:L32)-SUM($E98:K98))*$D98*(L$80-$C98)/365,((SUM($E32:L32)-SUM($E98:K98))*$D98)),0)</f>
        <v>1.1534350210787672</v>
      </c>
      <c r="M98" s="29">
        <f>MAX(IF(M$80-$C98&lt;365,(SUM($E32:M32)-SUM($E98:L98))*$D98*(M$80-$C98)/365,((SUM($E32:M32)-SUM($E98:L98))*$D98)),0)</f>
        <v>0.98041976791695207</v>
      </c>
      <c r="N98" s="29">
        <f>MAX(IF(N$80-$C98&lt;365,(SUM($E32:N32)-SUM($E98:M98))*$D98*(N$80-$C98)/365,((SUM($E32:N32)-SUM($E98:M98))*$D98)),0)</f>
        <v>0.83335680272940915</v>
      </c>
      <c r="O98" s="29">
        <f>MAX(IF(O$80-$C98&lt;365,(SUM($E32:O32)-SUM($E98:N98))*$D98*(O$80-$C98)/365,((SUM($E32:O32)-SUM($E98:N98))*$D98)),0)</f>
        <v>0.70835328231999795</v>
      </c>
    </row>
    <row r="99" spans="2:17" x14ac:dyDescent="0.35">
      <c r="B99" s="3" t="s">
        <v>26</v>
      </c>
      <c r="C99" s="79">
        <f>BA!E38</f>
        <v>45473</v>
      </c>
      <c r="D99" s="78">
        <v>0.15</v>
      </c>
      <c r="E99" s="197"/>
      <c r="F99" s="29">
        <f>MAX(IF(F$80-$C99&lt;365,(SUM($E33:F33)-SUM($E99:E99))*$D99*(F$80-$C99)/365,((SUM($E33:F33)-SUM($E99:E99))*$D99)),0)</f>
        <v>0</v>
      </c>
      <c r="G99" s="29">
        <f>MAX(IF(G$80-$C99&lt;365,(SUM($E33:G33)-SUM($E99:F99))*$D99*(G$80-$C99)/365,((SUM($E33:G33)-SUM($E99:F99))*$D99)),0)</f>
        <v>0</v>
      </c>
      <c r="H99" s="29">
        <f>MAX(IF(H$80-$C99&lt;365,(SUM($E33:H33)-SUM($E99:G99))*$D99*(H$80-$C99)/365,((SUM($E33:H33)-SUM($E99:G99))*$D99)),0)</f>
        <v>0</v>
      </c>
      <c r="I99" s="29">
        <f>MAX(IF(I$80-$C99&lt;365,(SUM($E33:I33)-SUM($E99:H99))*$D99*(I$80-$C99)/365,((SUM($E33:I33)-SUM($E99:H99))*$D99)),0)</f>
        <v>0.37384109589041098</v>
      </c>
      <c r="J99" s="29">
        <f>MAX(IF(J$80-$C99&lt;365,(SUM($E33:J33)-SUM($E99:I99))*$D99*(J$80-$C99)/365,((SUM($E33:J33)-SUM($E99:I99))*$D99)),0)</f>
        <v>0.44192383561643839</v>
      </c>
      <c r="K99" s="29">
        <f>MAX(IF(K$80-$C99&lt;365,(SUM($E33:K33)-SUM($E99:J99))*$D99*(K$80-$C99)/365,((SUM($E33:K33)-SUM($E99:J99))*$D99)),0)</f>
        <v>0.37563526027397265</v>
      </c>
      <c r="L99" s="29">
        <f>MAX(IF(L$80-$C99&lt;365,(SUM($E33:L33)-SUM($E99:K99))*$D99*(L$80-$C99)/365,((SUM($E33:L33)-SUM($E99:K99))*$D99)),0)</f>
        <v>0.31928997123287672</v>
      </c>
      <c r="M99" s="29">
        <f>MAX(IF(M$80-$C99&lt;365,(SUM($E33:M33)-SUM($E99:L99))*$D99*(M$80-$C99)/365,((SUM($E33:M33)-SUM($E99:L99))*$D99)),0)</f>
        <v>0.27139647554794522</v>
      </c>
      <c r="N99" s="29">
        <f>MAX(IF(N$80-$C99&lt;365,(SUM($E33:N33)-SUM($E99:M99))*$D99*(N$80-$C99)/365,((SUM($E33:N33)-SUM($E99:M99))*$D99)),0)</f>
        <v>0.23068700421575342</v>
      </c>
      <c r="O99" s="29">
        <f>MAX(IF(O$80-$C99&lt;365,(SUM($E33:O33)-SUM($E99:N99))*$D99*(O$80-$C99)/365,((SUM($E33:O33)-SUM($E99:N99))*$D99)),0)</f>
        <v>0.1960839535833904</v>
      </c>
    </row>
    <row r="100" spans="2:17" x14ac:dyDescent="0.35">
      <c r="C100" s="79"/>
      <c r="D100" s="78"/>
      <c r="E100" s="197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2:17" x14ac:dyDescent="0.35">
      <c r="B101" s="33" t="s">
        <v>84</v>
      </c>
      <c r="C101" s="61"/>
      <c r="D101" s="61"/>
      <c r="E101" s="198"/>
      <c r="F101" s="198">
        <f t="shared" ref="F101:O101" si="14">SUM(F93:F99)</f>
        <v>0</v>
      </c>
      <c r="G101" s="198">
        <f t="shared" si="14"/>
        <v>4.5126986301369874</v>
      </c>
      <c r="H101" s="198">
        <f t="shared" si="14"/>
        <v>16.157882876712328</v>
      </c>
      <c r="I101" s="198">
        <f t="shared" si="14"/>
        <v>24.040753869863014</v>
      </c>
      <c r="J101" s="198">
        <f t="shared" si="14"/>
        <v>20.558799693493153</v>
      </c>
      <c r="K101" s="198">
        <f t="shared" si="14"/>
        <v>27.434979739469181</v>
      </c>
      <c r="L101" s="198">
        <f t="shared" si="14"/>
        <v>23.319732778548801</v>
      </c>
      <c r="M101" s="198">
        <f t="shared" si="14"/>
        <v>19.821772861766483</v>
      </c>
      <c r="N101" s="198">
        <f t="shared" si="14"/>
        <v>16.848506932501511</v>
      </c>
      <c r="O101" s="198">
        <f t="shared" si="14"/>
        <v>14.32123089262628</v>
      </c>
    </row>
    <row r="102" spans="2:17" x14ac:dyDescent="0.35">
      <c r="B102" s="32"/>
      <c r="C102" s="6"/>
      <c r="D102" s="6"/>
      <c r="E102" s="6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2:17" x14ac:dyDescent="0.35">
      <c r="B103" s="13"/>
      <c r="C103" s="4"/>
      <c r="D103" s="4"/>
      <c r="E103" s="48"/>
      <c r="F103" s="48"/>
      <c r="G103" s="48"/>
      <c r="H103" s="48"/>
      <c r="I103" s="48"/>
      <c r="J103" s="48"/>
      <c r="K103" s="48"/>
      <c r="L103" s="48"/>
      <c r="M103" s="48"/>
      <c r="N103" s="48"/>
    </row>
    <row r="104" spans="2:17" x14ac:dyDescent="0.35">
      <c r="B104" s="13"/>
      <c r="C104" s="4"/>
      <c r="D104" s="4"/>
      <c r="E104" s="48"/>
      <c r="F104" s="48"/>
      <c r="G104" s="48"/>
      <c r="H104" s="48"/>
      <c r="I104" s="48"/>
      <c r="J104" s="48"/>
      <c r="K104" s="48"/>
      <c r="L104" s="48"/>
      <c r="M104" s="48"/>
      <c r="N104" s="48"/>
    </row>
    <row r="105" spans="2:17" ht="21" x14ac:dyDescent="0.5">
      <c r="B105" s="217" t="s">
        <v>69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90"/>
      <c r="Q105" s="90"/>
    </row>
    <row r="107" spans="2:17" x14ac:dyDescent="0.35">
      <c r="B107" s="54"/>
      <c r="C107" s="25"/>
      <c r="D107" s="25"/>
      <c r="E107" s="71">
        <v>44469</v>
      </c>
      <c r="F107" s="71">
        <v>44651</v>
      </c>
      <c r="G107" s="71">
        <v>45016</v>
      </c>
      <c r="H107" s="71">
        <v>45382</v>
      </c>
      <c r="I107" s="71">
        <v>45747</v>
      </c>
      <c r="J107" s="71">
        <v>46112</v>
      </c>
      <c r="K107" s="71">
        <v>46477</v>
      </c>
      <c r="L107" s="71">
        <v>46843</v>
      </c>
      <c r="M107" s="71">
        <v>47208</v>
      </c>
      <c r="N107" s="71">
        <v>47573</v>
      </c>
      <c r="O107" s="71">
        <v>47938</v>
      </c>
    </row>
    <row r="108" spans="2:17" x14ac:dyDescent="0.35">
      <c r="B108" s="43" t="s">
        <v>31</v>
      </c>
    </row>
    <row r="109" spans="2:17" x14ac:dyDescent="0.35">
      <c r="B109" s="3" t="s">
        <v>45</v>
      </c>
      <c r="E109" s="127">
        <f>BA!C48</f>
        <v>400</v>
      </c>
      <c r="F109" s="127">
        <f>BA!D48</f>
        <v>600</v>
      </c>
      <c r="G109" s="127">
        <f>BA!E48</f>
        <v>900</v>
      </c>
      <c r="H109" s="127">
        <f>BA!F48</f>
        <v>1200</v>
      </c>
      <c r="I109" s="127">
        <f>BA!G48</f>
        <v>1398</v>
      </c>
      <c r="J109" s="127">
        <f>BA!H48</f>
        <v>1398</v>
      </c>
      <c r="K109" s="127">
        <f>BA!I48</f>
        <v>1398</v>
      </c>
      <c r="L109" s="127">
        <f>BA!J48</f>
        <v>1398</v>
      </c>
      <c r="M109" s="127">
        <f>BA!K48</f>
        <v>1398</v>
      </c>
      <c r="N109" s="127">
        <f>BA!L48</f>
        <v>1398</v>
      </c>
      <c r="O109" s="127">
        <f>BA!M48</f>
        <v>1398</v>
      </c>
    </row>
    <row r="110" spans="2:17" x14ac:dyDescent="0.35">
      <c r="B110" s="3" t="s">
        <v>70</v>
      </c>
      <c r="E110" s="127">
        <f>BA!C60</f>
        <v>285</v>
      </c>
      <c r="F110" s="127">
        <f>BA!D60</f>
        <v>360</v>
      </c>
      <c r="G110" s="127">
        <f>BA!E60</f>
        <v>600</v>
      </c>
      <c r="H110" s="127">
        <f>BA!F60</f>
        <v>840</v>
      </c>
      <c r="I110" s="127">
        <f>BA!G60</f>
        <v>1140</v>
      </c>
      <c r="J110" s="127">
        <f>BA!H60</f>
        <v>1398</v>
      </c>
      <c r="K110" s="127">
        <f>BA!I60</f>
        <v>1398</v>
      </c>
      <c r="L110" s="127">
        <f>BA!J60</f>
        <v>1398</v>
      </c>
      <c r="M110" s="127">
        <f>BA!K60</f>
        <v>1398</v>
      </c>
      <c r="N110" s="127">
        <f>BA!L60</f>
        <v>1398</v>
      </c>
      <c r="O110" s="127">
        <f>BA!M60</f>
        <v>1398</v>
      </c>
    </row>
    <row r="111" spans="2:17" x14ac:dyDescent="0.35">
      <c r="B111" s="43" t="s">
        <v>12</v>
      </c>
    </row>
    <row r="112" spans="2:17" x14ac:dyDescent="0.35">
      <c r="B112" s="3" t="s">
        <v>73</v>
      </c>
      <c r="F112" s="7">
        <f t="shared" ref="F112:O112" si="15">(F109-E109)</f>
        <v>200</v>
      </c>
      <c r="G112" s="7">
        <f t="shared" si="15"/>
        <v>300</v>
      </c>
      <c r="H112" s="7">
        <f t="shared" si="15"/>
        <v>300</v>
      </c>
      <c r="I112" s="8">
        <f t="shared" si="15"/>
        <v>198</v>
      </c>
      <c r="J112" s="8">
        <f t="shared" si="15"/>
        <v>0</v>
      </c>
      <c r="K112" s="8">
        <f t="shared" si="15"/>
        <v>0</v>
      </c>
      <c r="L112" s="8">
        <f t="shared" si="15"/>
        <v>0</v>
      </c>
      <c r="M112" s="8">
        <f t="shared" si="15"/>
        <v>0</v>
      </c>
      <c r="N112" s="8">
        <f t="shared" si="15"/>
        <v>0</v>
      </c>
      <c r="O112" s="8">
        <f t="shared" si="15"/>
        <v>0</v>
      </c>
    </row>
    <row r="113" spans="2:15" x14ac:dyDescent="0.35">
      <c r="B113" s="3" t="s">
        <v>42</v>
      </c>
      <c r="F113" s="7">
        <f>BA!D111</f>
        <v>830000</v>
      </c>
      <c r="G113" s="7">
        <f>BA!E111</f>
        <v>830000</v>
      </c>
      <c r="H113" s="7">
        <f>BA!F111</f>
        <v>830000</v>
      </c>
      <c r="I113" s="7">
        <f>BA!G111</f>
        <v>830000</v>
      </c>
      <c r="J113" s="7">
        <f>BA!H111</f>
        <v>830000</v>
      </c>
      <c r="K113" s="7">
        <f>BA!I111</f>
        <v>830000</v>
      </c>
      <c r="L113" s="7">
        <f>BA!J111</f>
        <v>830000</v>
      </c>
      <c r="M113" s="7">
        <f>BA!K111</f>
        <v>830000</v>
      </c>
      <c r="N113" s="7">
        <f>BA!L111</f>
        <v>830000</v>
      </c>
      <c r="O113" s="7">
        <f>BA!M111</f>
        <v>830000</v>
      </c>
    </row>
    <row r="114" spans="2:15" x14ac:dyDescent="0.35">
      <c r="B114" s="36" t="s">
        <v>217</v>
      </c>
      <c r="C114" s="22"/>
      <c r="D114" s="22"/>
      <c r="E114" s="70"/>
      <c r="F114" s="70">
        <f t="shared" ref="F114:O114" si="16">F112*F113/10^7</f>
        <v>16.600000000000001</v>
      </c>
      <c r="G114" s="70">
        <f t="shared" si="16"/>
        <v>24.9</v>
      </c>
      <c r="H114" s="70">
        <f t="shared" si="16"/>
        <v>24.9</v>
      </c>
      <c r="I114" s="70">
        <f t="shared" si="16"/>
        <v>16.434000000000001</v>
      </c>
      <c r="J114" s="70">
        <f t="shared" si="16"/>
        <v>0</v>
      </c>
      <c r="K114" s="70">
        <f t="shared" si="16"/>
        <v>0</v>
      </c>
      <c r="L114" s="70">
        <f t="shared" si="16"/>
        <v>0</v>
      </c>
      <c r="M114" s="70">
        <f t="shared" si="16"/>
        <v>0</v>
      </c>
      <c r="N114" s="70">
        <f t="shared" si="16"/>
        <v>0</v>
      </c>
      <c r="O114" s="70">
        <f t="shared" si="16"/>
        <v>0</v>
      </c>
    </row>
    <row r="115" spans="2:15" x14ac:dyDescent="0.35"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2:15" x14ac:dyDescent="0.35">
      <c r="B116" s="3" t="s">
        <v>76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2:15" x14ac:dyDescent="0.35">
      <c r="B117" s="3" t="s">
        <v>74</v>
      </c>
      <c r="E117" s="29"/>
      <c r="F117" s="29">
        <v>0</v>
      </c>
      <c r="G117" s="29">
        <f t="shared" ref="G117:O117" si="17">F120</f>
        <v>15.355</v>
      </c>
      <c r="H117" s="29">
        <f t="shared" si="17"/>
        <v>34.216749999999998</v>
      </c>
      <c r="I117" s="29">
        <f t="shared" si="17"/>
        <v>50.249237499999992</v>
      </c>
      <c r="J117" s="29">
        <f t="shared" si="17"/>
        <v>56.680751874999991</v>
      </c>
      <c r="K117" s="29">
        <f t="shared" si="17"/>
        <v>48.178639093749993</v>
      </c>
      <c r="L117" s="29">
        <f t="shared" si="17"/>
        <v>40.951843229687498</v>
      </c>
      <c r="M117" s="29">
        <f t="shared" si="17"/>
        <v>34.809066745234375</v>
      </c>
      <c r="N117" s="29">
        <f t="shared" si="17"/>
        <v>29.58770673344922</v>
      </c>
      <c r="O117" s="29">
        <f t="shared" si="17"/>
        <v>25.149550723431837</v>
      </c>
    </row>
    <row r="118" spans="2:15" x14ac:dyDescent="0.35">
      <c r="B118" s="3" t="s">
        <v>12</v>
      </c>
      <c r="E118" s="29"/>
      <c r="F118" s="29">
        <f t="shared" ref="F118:O118" si="18">F114</f>
        <v>16.600000000000001</v>
      </c>
      <c r="G118" s="29">
        <f t="shared" si="18"/>
        <v>24.9</v>
      </c>
      <c r="H118" s="29">
        <f t="shared" si="18"/>
        <v>24.9</v>
      </c>
      <c r="I118" s="29">
        <f t="shared" si="18"/>
        <v>16.434000000000001</v>
      </c>
      <c r="J118" s="29">
        <f t="shared" si="18"/>
        <v>0</v>
      </c>
      <c r="K118" s="29">
        <f t="shared" si="18"/>
        <v>0</v>
      </c>
      <c r="L118" s="29">
        <f t="shared" si="18"/>
        <v>0</v>
      </c>
      <c r="M118" s="29">
        <f t="shared" si="18"/>
        <v>0</v>
      </c>
      <c r="N118" s="29">
        <f t="shared" si="18"/>
        <v>0</v>
      </c>
      <c r="O118" s="29">
        <f t="shared" si="18"/>
        <v>0</v>
      </c>
    </row>
    <row r="119" spans="2:15" x14ac:dyDescent="0.35">
      <c r="B119" s="3" t="s">
        <v>9</v>
      </c>
      <c r="D119" s="42">
        <v>0.15</v>
      </c>
      <c r="E119" s="29"/>
      <c r="F119" s="29">
        <f>F118*$D$119/2</f>
        <v>1.2450000000000001</v>
      </c>
      <c r="G119" s="29">
        <f t="shared" ref="G119:O119" si="19">G118*$D$119+G117*$D$119</f>
        <v>6.0382499999999997</v>
      </c>
      <c r="H119" s="29">
        <f t="shared" si="19"/>
        <v>8.8675125000000001</v>
      </c>
      <c r="I119" s="29">
        <f t="shared" si="19"/>
        <v>10.002485624999998</v>
      </c>
      <c r="J119" s="29">
        <f t="shared" si="19"/>
        <v>8.5021127812499984</v>
      </c>
      <c r="K119" s="29">
        <f t="shared" si="19"/>
        <v>7.226795864062499</v>
      </c>
      <c r="L119" s="29">
        <f t="shared" si="19"/>
        <v>6.1427764844531243</v>
      </c>
      <c r="M119" s="29">
        <f t="shared" si="19"/>
        <v>5.2213600117851557</v>
      </c>
      <c r="N119" s="29">
        <f t="shared" si="19"/>
        <v>4.4381560100173827</v>
      </c>
      <c r="O119" s="29">
        <f t="shared" si="19"/>
        <v>3.7724326085147752</v>
      </c>
    </row>
    <row r="120" spans="2:15" x14ac:dyDescent="0.35">
      <c r="B120" s="36" t="s">
        <v>75</v>
      </c>
      <c r="C120" s="22"/>
      <c r="D120" s="22"/>
      <c r="E120" s="70"/>
      <c r="F120" s="70">
        <f t="shared" ref="F120:O120" si="20">F117+F118-F119</f>
        <v>15.355</v>
      </c>
      <c r="G120" s="70">
        <f t="shared" si="20"/>
        <v>34.216749999999998</v>
      </c>
      <c r="H120" s="70">
        <f t="shared" si="20"/>
        <v>50.249237499999992</v>
      </c>
      <c r="I120" s="70">
        <f t="shared" si="20"/>
        <v>56.680751874999991</v>
      </c>
      <c r="J120" s="70">
        <f t="shared" si="20"/>
        <v>48.178639093749993</v>
      </c>
      <c r="K120" s="70">
        <f t="shared" si="20"/>
        <v>40.951843229687498</v>
      </c>
      <c r="L120" s="70">
        <f t="shared" si="20"/>
        <v>34.809066745234375</v>
      </c>
      <c r="M120" s="70">
        <f t="shared" si="20"/>
        <v>29.58770673344922</v>
      </c>
      <c r="N120" s="70">
        <f t="shared" si="20"/>
        <v>25.149550723431837</v>
      </c>
      <c r="O120" s="70">
        <f t="shared" si="20"/>
        <v>21.37711811491706</v>
      </c>
    </row>
    <row r="121" spans="2:15" x14ac:dyDescent="0.35"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2:15" x14ac:dyDescent="0.35"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2:15" x14ac:dyDescent="0.35">
      <c r="B123" s="3" t="s">
        <v>37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2:15" x14ac:dyDescent="0.35">
      <c r="B124" s="3" t="s">
        <v>74</v>
      </c>
      <c r="E124" s="29"/>
      <c r="F124" s="29">
        <f>F117</f>
        <v>0</v>
      </c>
      <c r="G124" s="29">
        <f t="shared" ref="G124:O124" si="21">F127</f>
        <v>15.097700000000001</v>
      </c>
      <c r="H124" s="29">
        <f t="shared" si="21"/>
        <v>32.758116300000005</v>
      </c>
      <c r="I124" s="29">
        <f t="shared" si="21"/>
        <v>47.221997249700003</v>
      </c>
      <c r="J124" s="29">
        <f t="shared" si="21"/>
        <v>52.134261747504304</v>
      </c>
      <c r="K124" s="29">
        <f t="shared" si="21"/>
        <v>42.697960371206023</v>
      </c>
      <c r="L124" s="29">
        <f t="shared" si="21"/>
        <v>34.969629544017735</v>
      </c>
      <c r="M124" s="29">
        <f t="shared" si="21"/>
        <v>28.640126596550523</v>
      </c>
      <c r="N124" s="29">
        <f t="shared" si="21"/>
        <v>23.456263682574878</v>
      </c>
      <c r="O124" s="29">
        <f t="shared" si="21"/>
        <v>19.210679956028827</v>
      </c>
    </row>
    <row r="125" spans="2:15" x14ac:dyDescent="0.35">
      <c r="B125" s="3" t="s">
        <v>12</v>
      </c>
      <c r="E125" s="29"/>
      <c r="F125" s="29">
        <f>F118</f>
        <v>16.600000000000001</v>
      </c>
      <c r="G125" s="29">
        <f t="shared" ref="G125:O125" si="22">G118</f>
        <v>24.9</v>
      </c>
      <c r="H125" s="29">
        <f t="shared" si="22"/>
        <v>24.9</v>
      </c>
      <c r="I125" s="29">
        <f t="shared" si="22"/>
        <v>16.434000000000001</v>
      </c>
      <c r="J125" s="29">
        <f t="shared" si="22"/>
        <v>0</v>
      </c>
      <c r="K125" s="29">
        <f t="shared" si="22"/>
        <v>0</v>
      </c>
      <c r="L125" s="29">
        <f t="shared" si="22"/>
        <v>0</v>
      </c>
      <c r="M125" s="29">
        <f t="shared" si="22"/>
        <v>0</v>
      </c>
      <c r="N125" s="29">
        <f t="shared" si="22"/>
        <v>0</v>
      </c>
      <c r="O125" s="29">
        <f t="shared" si="22"/>
        <v>0</v>
      </c>
    </row>
    <row r="126" spans="2:15" x14ac:dyDescent="0.35">
      <c r="B126" s="3" t="s">
        <v>9</v>
      </c>
      <c r="D126" s="42">
        <v>0.18099999999999999</v>
      </c>
      <c r="E126" s="29"/>
      <c r="F126" s="29">
        <f>F125*$D$126/2</f>
        <v>1.5023000000000002</v>
      </c>
      <c r="G126" s="29">
        <f t="shared" ref="G126:O126" si="23">SUM(G124:G125)*$D$126</f>
        <v>7.2395836999999998</v>
      </c>
      <c r="H126" s="29">
        <f t="shared" si="23"/>
        <v>10.4361190503</v>
      </c>
      <c r="I126" s="29">
        <f t="shared" si="23"/>
        <v>11.521735502195702</v>
      </c>
      <c r="J126" s="29">
        <f t="shared" si="23"/>
        <v>9.4363013762982781</v>
      </c>
      <c r="K126" s="29">
        <f t="shared" si="23"/>
        <v>7.72833082718829</v>
      </c>
      <c r="L126" s="29">
        <f t="shared" si="23"/>
        <v>6.3295029474672102</v>
      </c>
      <c r="M126" s="29">
        <f t="shared" si="23"/>
        <v>5.1838629139756449</v>
      </c>
      <c r="N126" s="29">
        <f t="shared" si="23"/>
        <v>4.2455837265460525</v>
      </c>
      <c r="O126" s="29">
        <f t="shared" si="23"/>
        <v>3.4771330720412177</v>
      </c>
    </row>
    <row r="127" spans="2:15" x14ac:dyDescent="0.35">
      <c r="B127" s="36" t="s">
        <v>75</v>
      </c>
      <c r="C127" s="22"/>
      <c r="D127" s="22"/>
      <c r="E127" s="70"/>
      <c r="F127" s="70">
        <f t="shared" ref="F127:O127" si="24">F124+F125-F126</f>
        <v>15.097700000000001</v>
      </c>
      <c r="G127" s="70">
        <f t="shared" si="24"/>
        <v>32.758116300000005</v>
      </c>
      <c r="H127" s="70">
        <f t="shared" si="24"/>
        <v>47.221997249700003</v>
      </c>
      <c r="I127" s="70">
        <f t="shared" si="24"/>
        <v>52.134261747504304</v>
      </c>
      <c r="J127" s="70">
        <f t="shared" si="24"/>
        <v>42.697960371206023</v>
      </c>
      <c r="K127" s="70">
        <f t="shared" si="24"/>
        <v>34.969629544017735</v>
      </c>
      <c r="L127" s="70">
        <f t="shared" si="24"/>
        <v>28.640126596550523</v>
      </c>
      <c r="M127" s="70">
        <f t="shared" si="24"/>
        <v>23.456263682574878</v>
      </c>
      <c r="N127" s="70">
        <f t="shared" si="24"/>
        <v>19.210679956028827</v>
      </c>
      <c r="O127" s="70">
        <f t="shared" si="24"/>
        <v>15.733546883987609</v>
      </c>
    </row>
    <row r="129" spans="6:15" x14ac:dyDescent="0.35">
      <c r="F129" s="9"/>
      <c r="G129" s="20"/>
      <c r="H129" s="20"/>
    </row>
    <row r="130" spans="6:15" x14ac:dyDescent="0.35"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2">
    <mergeCell ref="B105:O105"/>
    <mergeCell ref="B3:O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showGridLines="0" workbookViewId="0">
      <pane xSplit="1" ySplit="3" topLeftCell="B30" activePane="bottomRight" state="frozen"/>
      <selection pane="topRight" activeCell="B1" sqref="B1"/>
      <selection pane="bottomLeft" activeCell="A5" sqref="A5"/>
      <selection pane="bottomRight" activeCell="M35" sqref="M35"/>
    </sheetView>
  </sheetViews>
  <sheetFormatPr defaultRowHeight="14.5" x14ac:dyDescent="0.35"/>
  <cols>
    <col min="1" max="1" width="2.7265625" customWidth="1"/>
    <col min="2" max="2" width="36.7265625" style="3" bestFit="1" customWidth="1"/>
    <col min="3" max="3" width="10.7265625" customWidth="1"/>
    <col min="4" max="4" width="10.7265625" style="86" customWidth="1"/>
    <col min="5" max="12" width="10.54296875" customWidth="1"/>
    <col min="13" max="16" width="12.1796875" customWidth="1"/>
  </cols>
  <sheetData>
    <row r="1" spans="2:16" ht="18.5" x14ac:dyDescent="0.45">
      <c r="B1" s="68" t="s">
        <v>68</v>
      </c>
    </row>
    <row r="2" spans="2:16" ht="18.5" x14ac:dyDescent="0.45">
      <c r="B2" s="68" t="s">
        <v>273</v>
      </c>
    </row>
    <row r="3" spans="2:16" x14ac:dyDescent="0.35">
      <c r="B3" s="58" t="s">
        <v>227</v>
      </c>
      <c r="C3" s="71">
        <v>44469</v>
      </c>
      <c r="D3" s="71">
        <v>44651</v>
      </c>
      <c r="E3" s="71">
        <v>45016</v>
      </c>
      <c r="F3" s="71">
        <v>45382</v>
      </c>
      <c r="G3" s="71">
        <v>45747</v>
      </c>
      <c r="H3" s="71">
        <v>46112</v>
      </c>
      <c r="I3" s="71">
        <v>46477</v>
      </c>
      <c r="J3" s="71">
        <v>46843</v>
      </c>
      <c r="K3" s="71">
        <v>47208</v>
      </c>
      <c r="L3" s="71">
        <v>47573</v>
      </c>
      <c r="M3" s="71">
        <v>47938</v>
      </c>
    </row>
    <row r="4" spans="2:16" x14ac:dyDescent="0.35">
      <c r="B4" s="13" t="s">
        <v>45</v>
      </c>
      <c r="C4" s="174">
        <f>BA!C48</f>
        <v>400</v>
      </c>
      <c r="D4" s="174">
        <f>BA!F39*100+(BA!D48-BA!C48)</f>
        <v>200</v>
      </c>
      <c r="E4" s="174">
        <f>BA!G39*100+(BA!E48-BA!D48)</f>
        <v>1300</v>
      </c>
      <c r="F4" s="174">
        <f>BA!H39*100+(BA!F48-BA!E48)</f>
        <v>3700</v>
      </c>
      <c r="G4" s="174">
        <f>BA!I39*100+(BA!G48-BA!F48)</f>
        <v>3198</v>
      </c>
      <c r="H4" s="174">
        <f>BA!J39*100+(BA!H48-BA!G48)</f>
        <v>2750</v>
      </c>
      <c r="I4" s="174">
        <f>BA!K39*100+(BA!I48-BA!H48)</f>
        <v>2400</v>
      </c>
      <c r="J4" s="174">
        <f>BA!L39*100+(BA!J48-BA!I48)</f>
        <v>2400</v>
      </c>
      <c r="K4" s="174">
        <f>BA!M39*100+(BA!K48-BA!J48)</f>
        <v>0</v>
      </c>
      <c r="L4" s="174">
        <f>BA!N39*100+(BA!L48-BA!K48)</f>
        <v>0</v>
      </c>
      <c r="M4" s="174">
        <f>BA!O39*100+(BA!M48-BA!L48)</f>
        <v>0</v>
      </c>
    </row>
    <row r="5" spans="2:16" x14ac:dyDescent="0.35">
      <c r="B5" s="13" t="s">
        <v>264</v>
      </c>
      <c r="C5" s="174">
        <f>BA!C55</f>
        <v>400</v>
      </c>
      <c r="D5" s="174">
        <f>BA!D55</f>
        <v>600</v>
      </c>
      <c r="E5" s="174">
        <f>BA!E55</f>
        <v>1900</v>
      </c>
      <c r="F5" s="174">
        <f>BA!F55</f>
        <v>5600</v>
      </c>
      <c r="G5" s="174">
        <f>BA!G55</f>
        <v>8798</v>
      </c>
      <c r="H5" s="174">
        <f>BA!H55</f>
        <v>11548</v>
      </c>
      <c r="I5" s="174">
        <f>BA!I55</f>
        <v>13948</v>
      </c>
      <c r="J5" s="174">
        <f>BA!J55</f>
        <v>16348</v>
      </c>
      <c r="K5" s="174">
        <f>BA!K55</f>
        <v>16348</v>
      </c>
      <c r="L5" s="174">
        <f>BA!L55</f>
        <v>16348</v>
      </c>
      <c r="M5" s="174">
        <f>BA!M55</f>
        <v>16348</v>
      </c>
    </row>
    <row r="6" spans="2:16" x14ac:dyDescent="0.35">
      <c r="B6" s="3" t="s">
        <v>242</v>
      </c>
      <c r="C6" s="7">
        <f>BA!C65</f>
        <v>285</v>
      </c>
      <c r="D6" s="7">
        <f>BA!D65</f>
        <v>360</v>
      </c>
      <c r="E6" s="7">
        <f>BA!E65</f>
        <v>1016.6666666666666</v>
      </c>
      <c r="F6" s="7">
        <f>BA!F65</f>
        <v>2523.333333333333</v>
      </c>
      <c r="G6" s="7">
        <f>BA!G65</f>
        <v>4973.333333333333</v>
      </c>
      <c r="H6" s="7">
        <f>BA!H65</f>
        <v>8106.333333333333</v>
      </c>
      <c r="I6" s="7">
        <f>BA!I65</f>
        <v>10681.333333333332</v>
      </c>
      <c r="J6" s="7">
        <f>BA!J65</f>
        <v>13081.333333333334</v>
      </c>
      <c r="K6" s="7">
        <f>BA!K65</f>
        <v>15214.666666666666</v>
      </c>
      <c r="L6" s="7">
        <f>BA!L65</f>
        <v>16348</v>
      </c>
      <c r="M6" s="7">
        <f>BA!M65</f>
        <v>16348</v>
      </c>
    </row>
    <row r="7" spans="2:16" x14ac:dyDescent="0.35">
      <c r="B7" s="3" t="s">
        <v>265</v>
      </c>
      <c r="C7" s="7"/>
      <c r="D7" s="7">
        <f>BA!D67</f>
        <v>1991725</v>
      </c>
      <c r="E7" s="7">
        <f>BA!E67</f>
        <v>1468266.6101694917</v>
      </c>
      <c r="F7" s="7">
        <f>BA!F67</f>
        <v>1060631.2584745763</v>
      </c>
      <c r="G7" s="7">
        <f>BA!G67</f>
        <v>926578.02741704613</v>
      </c>
      <c r="H7" s="7">
        <f>BA!H67</f>
        <v>861886.02460009954</v>
      </c>
      <c r="I7" s="7">
        <f>BA!I67</f>
        <v>805462.13482242788</v>
      </c>
      <c r="J7" s="7">
        <f>BA!J67</f>
        <v>788194.17943236569</v>
      </c>
      <c r="K7" s="7">
        <f>BA!K67</f>
        <v>784702.65529666166</v>
      </c>
      <c r="L7" s="7">
        <f>BA!L67</f>
        <v>791421.32070145023</v>
      </c>
      <c r="M7" s="7">
        <f>BA!M67</f>
        <v>807237.13406380336</v>
      </c>
    </row>
    <row r="8" spans="2:16" x14ac:dyDescent="0.35">
      <c r="B8" s="44" t="s">
        <v>277</v>
      </c>
      <c r="C8" s="38"/>
      <c r="D8" s="44">
        <f>AVERAGE(C6:D6)*D7/2/10^7</f>
        <v>32.116565625</v>
      </c>
      <c r="E8" s="44">
        <f t="shared" ref="E8:M8" si="0">AVERAGE(D6:E6)*E7/10^7</f>
        <v>101.065685</v>
      </c>
      <c r="F8" s="44">
        <f t="shared" si="0"/>
        <v>187.73173274999996</v>
      </c>
      <c r="G8" s="44">
        <f t="shared" si="0"/>
        <v>347.3123306101561</v>
      </c>
      <c r="H8" s="44">
        <f t="shared" si="0"/>
        <v>563.65909532138846</v>
      </c>
      <c r="I8" s="44">
        <f t="shared" si="0"/>
        <v>756.63770508327491</v>
      </c>
      <c r="J8" s="44">
        <f t="shared" si="0"/>
        <v>936.47977772290801</v>
      </c>
      <c r="K8" s="44">
        <f t="shared" si="0"/>
        <v>1110.1973167137169</v>
      </c>
      <c r="L8" s="44">
        <f t="shared" si="0"/>
        <v>1248.9683669096485</v>
      </c>
      <c r="M8" s="44">
        <f t="shared" si="0"/>
        <v>1319.6712667675056</v>
      </c>
    </row>
    <row r="10" spans="2:16" x14ac:dyDescent="0.35"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1" spans="2:16" s="2" customFormat="1" ht="21" x14ac:dyDescent="0.5">
      <c r="B11" s="178" t="s">
        <v>97</v>
      </c>
      <c r="C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 s="1" customFormat="1" x14ac:dyDescent="0.35">
      <c r="B12" s="59" t="s">
        <v>103</v>
      </c>
      <c r="C12" s="71">
        <v>44469</v>
      </c>
      <c r="D12" s="71">
        <v>44651</v>
      </c>
      <c r="E12" s="71">
        <v>45016</v>
      </c>
      <c r="F12" s="71">
        <v>45382</v>
      </c>
      <c r="G12" s="71">
        <v>45747</v>
      </c>
      <c r="H12" s="71">
        <v>46112</v>
      </c>
      <c r="I12" s="71">
        <v>46477</v>
      </c>
      <c r="J12" s="71">
        <v>46843</v>
      </c>
      <c r="K12" s="71">
        <v>47208</v>
      </c>
      <c r="L12" s="71">
        <v>47573</v>
      </c>
      <c r="M12" s="71">
        <v>47938</v>
      </c>
    </row>
    <row r="13" spans="2:16" x14ac:dyDescent="0.35">
      <c r="B13" s="3" t="s">
        <v>38</v>
      </c>
      <c r="C13" s="8"/>
      <c r="D13" s="8">
        <f>BA!D71</f>
        <v>967.5</v>
      </c>
      <c r="E13" s="8">
        <f>BA!E71</f>
        <v>2252.5</v>
      </c>
      <c r="F13" s="8">
        <f>BA!F71</f>
        <v>8160</v>
      </c>
      <c r="G13" s="8">
        <f>BA!G71</f>
        <v>19482.5</v>
      </c>
      <c r="H13" s="8">
        <f>BA!H71</f>
        <v>35432</v>
      </c>
      <c r="I13" s="8">
        <f>BA!I71</f>
        <v>52169</v>
      </c>
      <c r="J13" s="8">
        <f>BA!J71</f>
        <v>67094</v>
      </c>
      <c r="K13" s="8">
        <f>BA!K71</f>
        <v>80694</v>
      </c>
      <c r="L13" s="8">
        <f>BA!L71</f>
        <v>90494</v>
      </c>
      <c r="M13" s="8">
        <f>BA!M71</f>
        <v>93894</v>
      </c>
    </row>
    <row r="14" spans="2:16" x14ac:dyDescent="0.35">
      <c r="B14" s="3" t="s">
        <v>19</v>
      </c>
      <c r="C14" s="143">
        <f>D14</f>
        <v>0.6</v>
      </c>
      <c r="D14" s="143">
        <f>BA!D72</f>
        <v>0.6</v>
      </c>
      <c r="E14" s="143">
        <f>BA!E72</f>
        <v>0.6</v>
      </c>
      <c r="F14" s="143">
        <f>BA!F72</f>
        <v>0.6</v>
      </c>
      <c r="G14" s="143">
        <f>BA!G72</f>
        <v>0.6</v>
      </c>
      <c r="H14" s="143">
        <f>BA!H72</f>
        <v>0.6</v>
      </c>
      <c r="I14" s="143">
        <f>BA!I72</f>
        <v>0.6</v>
      </c>
      <c r="J14" s="143">
        <f>BA!J72</f>
        <v>0.6</v>
      </c>
      <c r="K14" s="143">
        <f>BA!K72</f>
        <v>0.6</v>
      </c>
      <c r="L14" s="143">
        <f>BA!L72</f>
        <v>0.6</v>
      </c>
      <c r="M14" s="143">
        <f>BA!M72</f>
        <v>0.6</v>
      </c>
    </row>
    <row r="15" spans="2:16" x14ac:dyDescent="0.35">
      <c r="B15" s="3" t="s">
        <v>14</v>
      </c>
      <c r="C15" s="72"/>
      <c r="D15" s="72">
        <f>BA!D73</f>
        <v>2</v>
      </c>
      <c r="E15" s="72">
        <f>BA!E73</f>
        <v>2</v>
      </c>
      <c r="F15" s="72">
        <f>BA!F73</f>
        <v>1.75</v>
      </c>
      <c r="G15" s="72">
        <f>BA!G73</f>
        <v>1.7</v>
      </c>
      <c r="H15" s="72">
        <f>BA!H73</f>
        <v>1.7</v>
      </c>
      <c r="I15" s="72">
        <f>BA!I73</f>
        <v>1.7</v>
      </c>
      <c r="J15" s="72">
        <f>BA!J73</f>
        <v>1.7</v>
      </c>
      <c r="K15" s="72">
        <f>BA!K73</f>
        <v>1.7</v>
      </c>
      <c r="L15" s="72">
        <f>BA!L73</f>
        <v>1.7</v>
      </c>
      <c r="M15" s="72">
        <f>BA!M73</f>
        <v>1.7</v>
      </c>
    </row>
    <row r="16" spans="2:16" x14ac:dyDescent="0.35">
      <c r="B16" s="3" t="s">
        <v>266</v>
      </c>
      <c r="C16" s="127"/>
      <c r="D16" s="72">
        <f>D13*D14*D15*24*180/10^7</f>
        <v>0.501552</v>
      </c>
      <c r="E16" s="72">
        <f t="shared" ref="E16:M16" si="1">E13*E14*E15*24*365/10^7</f>
        <v>2.3678279999999998</v>
      </c>
      <c r="F16" s="72">
        <f t="shared" si="1"/>
        <v>7.5055680000000002</v>
      </c>
      <c r="G16" s="72">
        <f t="shared" si="1"/>
        <v>17.408003399999998</v>
      </c>
      <c r="H16" s="72">
        <f t="shared" si="1"/>
        <v>31.659200639999998</v>
      </c>
      <c r="I16" s="72">
        <f t="shared" si="1"/>
        <v>46.614044879999994</v>
      </c>
      <c r="J16" s="72">
        <f t="shared" si="1"/>
        <v>59.949830880000007</v>
      </c>
      <c r="K16" s="72">
        <f t="shared" si="1"/>
        <v>72.101702880000005</v>
      </c>
      <c r="L16" s="72">
        <f t="shared" si="1"/>
        <v>80.858198880000003</v>
      </c>
      <c r="M16" s="72">
        <f t="shared" si="1"/>
        <v>83.89616688000001</v>
      </c>
    </row>
    <row r="17" spans="2:16" x14ac:dyDescent="0.35">
      <c r="B17" s="3" t="s">
        <v>267</v>
      </c>
      <c r="C17" s="127"/>
      <c r="D17" s="72">
        <f>BA!D74</f>
        <v>9.2688827614379079</v>
      </c>
      <c r="E17" s="72">
        <f>BA!E74</f>
        <v>9.4955602108768051</v>
      </c>
      <c r="F17" s="72">
        <f>BA!F74</f>
        <v>9.9129883874309392</v>
      </c>
      <c r="G17" s="72">
        <f>BA!G74</f>
        <v>10.176347157880885</v>
      </c>
      <c r="H17" s="72">
        <f>BA!H74</f>
        <v>10.345958948868391</v>
      </c>
      <c r="I17" s="72">
        <f>BA!I74</f>
        <v>10.514958806211922</v>
      </c>
      <c r="J17" s="72">
        <f>BA!J74</f>
        <v>10.694706762876526</v>
      </c>
      <c r="K17" s="72">
        <f>BA!K74</f>
        <v>10.867699551125032</v>
      </c>
      <c r="L17" s="72">
        <f>BA!L74</f>
        <v>11.045166766419777</v>
      </c>
      <c r="M17" s="72">
        <f>BA!M74</f>
        <v>11.25045494194457</v>
      </c>
    </row>
    <row r="18" spans="2:16" x14ac:dyDescent="0.35">
      <c r="B18" s="36" t="s">
        <v>13</v>
      </c>
      <c r="C18" s="62"/>
      <c r="D18" s="33">
        <f t="shared" ref="D18:M18" si="2">D17*D16</f>
        <v>4.6488266867647052</v>
      </c>
      <c r="E18" s="33">
        <f t="shared" si="2"/>
        <v>22.483853343000003</v>
      </c>
      <c r="F18" s="33">
        <f t="shared" si="2"/>
        <v>74.402608425073268</v>
      </c>
      <c r="G18" s="33">
        <f t="shared" si="2"/>
        <v>177.14988592397077</v>
      </c>
      <c r="H18" s="33">
        <f t="shared" si="2"/>
        <v>327.54479017542786</v>
      </c>
      <c r="I18" s="33">
        <f t="shared" si="2"/>
        <v>490.14476170411371</v>
      </c>
      <c r="J18" s="33">
        <f t="shared" si="2"/>
        <v>641.1458617456401</v>
      </c>
      <c r="K18" s="33">
        <f t="shared" si="2"/>
        <v>783.57964402432651</v>
      </c>
      <c r="L18" s="33">
        <f t="shared" si="2"/>
        <v>893.09229106193686</v>
      </c>
      <c r="M18" s="33">
        <f t="shared" si="2"/>
        <v>943.87004528530247</v>
      </c>
    </row>
    <row r="19" spans="2:16" x14ac:dyDescent="0.35"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72"/>
      <c r="O19" s="72"/>
      <c r="P19" s="72"/>
    </row>
    <row r="20" spans="2:16" x14ac:dyDescent="0.35">
      <c r="B20" s="3" t="s">
        <v>270</v>
      </c>
      <c r="F20" s="127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2:16" x14ac:dyDescent="0.35">
      <c r="B21" s="3" t="s">
        <v>38</v>
      </c>
      <c r="C21" s="127"/>
      <c r="D21" s="127">
        <f>BA!D77</f>
        <v>0</v>
      </c>
      <c r="E21" s="127">
        <f>BA!E77</f>
        <v>812.5</v>
      </c>
      <c r="F21" s="127">
        <f>BA!F77</f>
        <v>6000</v>
      </c>
      <c r="G21" s="127">
        <f>BA!G77</f>
        <v>16512.5</v>
      </c>
      <c r="H21" s="127">
        <f>BA!H77</f>
        <v>31625</v>
      </c>
      <c r="I21" s="127">
        <f>BA!I77</f>
        <v>47975</v>
      </c>
      <c r="J21" s="127">
        <f>BA!J77</f>
        <v>62900</v>
      </c>
      <c r="K21" s="127">
        <f>BA!K77</f>
        <v>76500</v>
      </c>
      <c r="L21" s="127">
        <f>BA!L77</f>
        <v>86300</v>
      </c>
      <c r="M21" s="127">
        <f>BA!M77</f>
        <v>89700</v>
      </c>
    </row>
    <row r="22" spans="2:16" x14ac:dyDescent="0.35">
      <c r="B22" s="3" t="s">
        <v>19</v>
      </c>
      <c r="C22" s="24">
        <f>D22</f>
        <v>0.6</v>
      </c>
      <c r="D22" s="24">
        <f>BA!D78</f>
        <v>0.6</v>
      </c>
      <c r="E22" s="24">
        <f>BA!E78</f>
        <v>0.6</v>
      </c>
      <c r="F22" s="24">
        <f>BA!F78</f>
        <v>0.6</v>
      </c>
      <c r="G22" s="24">
        <f>BA!G78</f>
        <v>0.6</v>
      </c>
      <c r="H22" s="24">
        <f>BA!H78</f>
        <v>0.6</v>
      </c>
      <c r="I22" s="24">
        <f>BA!I78</f>
        <v>0.6</v>
      </c>
      <c r="J22" s="24">
        <f>BA!J78</f>
        <v>0.6</v>
      </c>
      <c r="K22" s="24">
        <f>BA!K78</f>
        <v>0.6</v>
      </c>
      <c r="L22" s="24">
        <f>BA!L78</f>
        <v>0.6</v>
      </c>
      <c r="M22" s="24">
        <f>BA!M78</f>
        <v>0.6</v>
      </c>
    </row>
    <row r="23" spans="2:16" x14ac:dyDescent="0.35">
      <c r="B23" s="3" t="s">
        <v>14</v>
      </c>
      <c r="C23" s="20">
        <f>D23</f>
        <v>1.8</v>
      </c>
      <c r="D23" s="3">
        <f>BA!D79</f>
        <v>1.8</v>
      </c>
      <c r="E23" s="3">
        <f>BA!E79</f>
        <v>1.8</v>
      </c>
      <c r="F23" s="3">
        <f>BA!F79</f>
        <v>1.8</v>
      </c>
      <c r="G23" s="3">
        <f>BA!G79</f>
        <v>1.7</v>
      </c>
      <c r="H23" s="3">
        <f>BA!H79</f>
        <v>1.7</v>
      </c>
      <c r="I23" s="3">
        <f>BA!I79</f>
        <v>1.7</v>
      </c>
      <c r="J23" s="3">
        <f>BA!J79</f>
        <v>1.7</v>
      </c>
      <c r="K23" s="3">
        <f>BA!K79</f>
        <v>1.7</v>
      </c>
      <c r="L23" s="3">
        <f>BA!L79</f>
        <v>1.7</v>
      </c>
      <c r="M23" s="3">
        <f>BA!M79</f>
        <v>1.7</v>
      </c>
    </row>
    <row r="24" spans="2:16" x14ac:dyDescent="0.35">
      <c r="B24" s="3" t="s">
        <v>266</v>
      </c>
      <c r="C24" s="127"/>
      <c r="D24" s="72">
        <f>D21*D22*D23*24*180/10^7</f>
        <v>0</v>
      </c>
      <c r="E24" s="72">
        <f t="shared" ref="E24:M24" si="3">E21*E22*E23*24*365/10^7</f>
        <v>0.76868999999999998</v>
      </c>
      <c r="F24" s="72">
        <f t="shared" si="3"/>
        <v>5.6764799999999997</v>
      </c>
      <c r="G24" s="72">
        <f t="shared" si="3"/>
        <v>14.754249</v>
      </c>
      <c r="H24" s="72">
        <f t="shared" si="3"/>
        <v>28.257570000000001</v>
      </c>
      <c r="I24" s="72">
        <f t="shared" si="3"/>
        <v>42.866622</v>
      </c>
      <c r="J24" s="72">
        <f t="shared" si="3"/>
        <v>56.202407999999998</v>
      </c>
      <c r="K24" s="72">
        <f t="shared" si="3"/>
        <v>68.354280000000003</v>
      </c>
      <c r="L24" s="72">
        <f t="shared" si="3"/>
        <v>77.110776000000001</v>
      </c>
      <c r="M24" s="72">
        <f t="shared" si="3"/>
        <v>80.148743999999994</v>
      </c>
    </row>
    <row r="25" spans="2:16" x14ac:dyDescent="0.35">
      <c r="B25" s="3" t="s">
        <v>267</v>
      </c>
      <c r="C25" s="127"/>
      <c r="D25" s="72">
        <f>BA!D80</f>
        <v>9.2688827614379079</v>
      </c>
      <c r="E25" s="72">
        <f>BA!E80</f>
        <v>9.4955602108768051</v>
      </c>
      <c r="F25" s="72">
        <f>BA!F80</f>
        <v>9.9129883874309392</v>
      </c>
      <c r="G25" s="72">
        <f>BA!G80</f>
        <v>10.176347157880885</v>
      </c>
      <c r="H25" s="72">
        <f>BA!H80</f>
        <v>10.345958948868391</v>
      </c>
      <c r="I25" s="72">
        <f>BA!I80</f>
        <v>10.514958806211922</v>
      </c>
      <c r="J25" s="72">
        <f>BA!J80</f>
        <v>10.694706762876526</v>
      </c>
      <c r="K25" s="72">
        <f>BA!K80</f>
        <v>10.867699551125032</v>
      </c>
      <c r="L25" s="72">
        <f>BA!L80</f>
        <v>11.045166766419777</v>
      </c>
      <c r="M25" s="72">
        <f>BA!M80</f>
        <v>11.25045494194457</v>
      </c>
    </row>
    <row r="26" spans="2:16" x14ac:dyDescent="0.35">
      <c r="B26" s="36" t="s">
        <v>268</v>
      </c>
      <c r="C26" s="62"/>
      <c r="D26" s="33">
        <f t="shared" ref="D26:M26" si="4">D24*D25</f>
        <v>0</v>
      </c>
      <c r="E26" s="33">
        <f t="shared" si="4"/>
        <v>7.299142178498891</v>
      </c>
      <c r="F26" s="33">
        <f t="shared" si="4"/>
        <v>56.270880321483979</v>
      </c>
      <c r="G26" s="33">
        <f t="shared" si="4"/>
        <v>150.1443598778169</v>
      </c>
      <c r="H26" s="33">
        <f t="shared" si="4"/>
        <v>292.351659214775</v>
      </c>
      <c r="I26" s="33">
        <f t="shared" si="4"/>
        <v>450.7407644914577</v>
      </c>
      <c r="J26" s="33">
        <f t="shared" si="4"/>
        <v>601.06827292754576</v>
      </c>
      <c r="K26" s="33">
        <f t="shared" si="4"/>
        <v>742.85377807347481</v>
      </c>
      <c r="L26" s="33">
        <f t="shared" si="4"/>
        <v>851.70138040803977</v>
      </c>
      <c r="M26" s="33">
        <f t="shared" si="4"/>
        <v>901.70983302545017</v>
      </c>
    </row>
    <row r="27" spans="2:16" x14ac:dyDescent="0.35">
      <c r="H27" s="20"/>
    </row>
    <row r="28" spans="2:16" ht="21" x14ac:dyDescent="0.5">
      <c r="B28" s="178" t="s">
        <v>6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</row>
    <row r="29" spans="2:16" x14ac:dyDescent="0.35">
      <c r="B29" s="59" t="s">
        <v>6</v>
      </c>
      <c r="C29" s="27"/>
      <c r="D29" s="71">
        <v>44651</v>
      </c>
      <c r="E29" s="71">
        <v>45016</v>
      </c>
      <c r="F29" s="71">
        <v>45382</v>
      </c>
      <c r="G29" s="71">
        <v>45747</v>
      </c>
      <c r="H29" s="71">
        <v>46112</v>
      </c>
      <c r="I29" s="71">
        <v>46477</v>
      </c>
      <c r="J29" s="71">
        <v>46843</v>
      </c>
      <c r="K29" s="71">
        <v>47208</v>
      </c>
      <c r="L29" s="71">
        <v>47573</v>
      </c>
      <c r="M29" s="71">
        <v>47938</v>
      </c>
    </row>
    <row r="30" spans="2:16" x14ac:dyDescent="0.35"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6" x14ac:dyDescent="0.35">
      <c r="B31" s="3" t="s">
        <v>237</v>
      </c>
      <c r="D31" s="64">
        <f>BA!D124</f>
        <v>2.5000000000000001E-2</v>
      </c>
      <c r="E31" s="64">
        <f>BA!E124</f>
        <v>2.5000000000000001E-2</v>
      </c>
      <c r="F31" s="64">
        <f>BA!F124</f>
        <v>2.5000000000000001E-2</v>
      </c>
      <c r="G31" s="64">
        <f>BA!G124</f>
        <v>2.5000000000000001E-2</v>
      </c>
      <c r="H31" s="64">
        <f>BA!H124</f>
        <v>2.5000000000000001E-2</v>
      </c>
      <c r="I31" s="64">
        <f>BA!I124</f>
        <v>2.5000000000000001E-2</v>
      </c>
      <c r="J31" s="64">
        <f>BA!J124</f>
        <v>2.5000000000000001E-2</v>
      </c>
      <c r="K31" s="64">
        <f>BA!K124</f>
        <v>2.5000000000000001E-2</v>
      </c>
      <c r="L31" s="64">
        <f>BA!L124</f>
        <v>2.5000000000000001E-2</v>
      </c>
      <c r="M31" s="64">
        <f>BA!M124</f>
        <v>2.5000000000000001E-2</v>
      </c>
    </row>
    <row r="32" spans="2:16" x14ac:dyDescent="0.35">
      <c r="B32" s="3" t="s">
        <v>41</v>
      </c>
      <c r="D32" s="24">
        <v>1</v>
      </c>
      <c r="E32" s="24">
        <f>BA!E104</f>
        <v>1.05</v>
      </c>
      <c r="F32" s="24">
        <f>BA!F104</f>
        <v>1.1025</v>
      </c>
      <c r="G32" s="24">
        <f>BA!G104</f>
        <v>1.1576250000000001</v>
      </c>
      <c r="H32" s="24">
        <f>BA!H104</f>
        <v>1.2155062500000002</v>
      </c>
      <c r="I32" s="24">
        <f>BA!I104</f>
        <v>1.2762815625000004</v>
      </c>
      <c r="J32" s="24">
        <f>BA!J104</f>
        <v>1.3400956406250004</v>
      </c>
      <c r="K32" s="24">
        <f>BA!K104</f>
        <v>1.4071004226562505</v>
      </c>
      <c r="L32" s="24">
        <f>BA!L104</f>
        <v>1.477455443789063</v>
      </c>
      <c r="M32" s="24">
        <f>BA!M104</f>
        <v>1.5513282159785162</v>
      </c>
    </row>
    <row r="33" spans="2:15" x14ac:dyDescent="0.35">
      <c r="D33"/>
      <c r="E33" s="24"/>
      <c r="F33" s="24"/>
      <c r="G33" s="24"/>
      <c r="H33" s="24"/>
      <c r="I33" s="24"/>
      <c r="J33" s="24"/>
      <c r="K33" s="24"/>
      <c r="L33" s="24"/>
      <c r="M33" s="24"/>
    </row>
    <row r="34" spans="2:15" x14ac:dyDescent="0.35">
      <c r="B34" s="3" t="s">
        <v>105</v>
      </c>
      <c r="D34" s="54">
        <f>1749989/10^7</f>
        <v>0.17499890000000001</v>
      </c>
      <c r="E34" s="3">
        <f>E31*SUM(Capex!$E$114:'Capex'!F114)*E32</f>
        <v>0.43575000000000008</v>
      </c>
      <c r="F34" s="3">
        <f>F31*SUM(Capex!$E$114:'Capex'!G114)*F32</f>
        <v>1.14384375</v>
      </c>
      <c r="G34" s="3">
        <f>G31*SUM(Capex!$E$114:'Capex'!H114)*G32</f>
        <v>1.9216575000000005</v>
      </c>
      <c r="H34" s="3">
        <f>H31*SUM(Capex!$E$114:'Capex'!I114)*H32</f>
        <v>2.5171311178125007</v>
      </c>
      <c r="I34" s="3">
        <f>I31*SUM(Capex!$E$114:'Capex'!J114)*I32</f>
        <v>2.6429876737031259</v>
      </c>
      <c r="J34" s="3">
        <f>J31*SUM(Capex!$E$114:'Capex'!K114)*J32</f>
        <v>2.7751370573882821</v>
      </c>
      <c r="K34" s="3">
        <f>K31*SUM(Capex!$E$114:'Capex'!L114)*K32</f>
        <v>2.9138939102576962</v>
      </c>
      <c r="L34" s="3">
        <f>L31*SUM(Capex!$E$114:'Capex'!M114)*L32</f>
        <v>3.0595886057705814</v>
      </c>
      <c r="M34" s="3">
        <f>M31*SUM(Capex!$E$114:'Capex'!N114)*M32</f>
        <v>3.2125680360591105</v>
      </c>
    </row>
    <row r="35" spans="2:15" x14ac:dyDescent="0.35">
      <c r="B35" s="13" t="s">
        <v>20</v>
      </c>
      <c r="D35" s="3">
        <f>SUM(Capex!$F27:'Capex'!E27)*D$31*D$32</f>
        <v>0</v>
      </c>
      <c r="E35" s="3">
        <f>SUM(Capex!$F27:'Capex'!F27)*E$31*E$32</f>
        <v>0</v>
      </c>
      <c r="F35" s="3">
        <f>SUM(Capex!$F27:'Capex'!G27)*F$31*F$32</f>
        <v>0.45753750000000004</v>
      </c>
      <c r="G35" s="3">
        <f>SUM(Capex!$F27:'Capex'!H27)*G$31*G$32</f>
        <v>0.48041437500000012</v>
      </c>
      <c r="H35" s="3">
        <f>SUM(Capex!$F27:'Capex'!I27)*H$31*H$32</f>
        <v>0.50443509375000017</v>
      </c>
      <c r="I35" s="3">
        <f>SUM(Capex!$F27:'Capex'!J27)*I$31*I$32</f>
        <v>0.52965684843750016</v>
      </c>
      <c r="J35" s="3">
        <f>SUM(Capex!$F27:'Capex'!K27)*J$31*J$32</f>
        <v>0.5561396908593752</v>
      </c>
      <c r="K35" s="3">
        <f>SUM(Capex!$F27:'Capex'!L27)*K$31*K$32</f>
        <v>0.58394667540234402</v>
      </c>
      <c r="L35" s="3">
        <f>SUM(Capex!$F27:'Capex'!M27)*L$31*L$32</f>
        <v>0.61314400917246126</v>
      </c>
      <c r="M35" s="3">
        <f>SUM(Capex!$F27:'Capex'!N27)*M$31*M$32</f>
        <v>0.64380120963108434</v>
      </c>
    </row>
    <row r="36" spans="2:15" x14ac:dyDescent="0.35">
      <c r="B36" s="3" t="s">
        <v>21</v>
      </c>
      <c r="D36" s="3">
        <f>SUM(Capex!$F28:'Capex'!E28)*D$31*D$32</f>
        <v>0</v>
      </c>
      <c r="E36" s="3">
        <f>SUM(Capex!$F28:'Capex'!F28)*E$31*E$32</f>
        <v>0</v>
      </c>
      <c r="F36" s="3">
        <f>SUM(Capex!$F28:'Capex'!G28)*F$31*F$32</f>
        <v>0</v>
      </c>
      <c r="G36" s="3">
        <f>SUM(Capex!$F28:'Capex'!H28)*G$31*G$32</f>
        <v>1.9216575000000005</v>
      </c>
      <c r="H36" s="3">
        <f>SUM(Capex!$F28:'Capex'!I28)*H$31*H$32</f>
        <v>2.0177403750000007</v>
      </c>
      <c r="I36" s="3">
        <f>SUM(Capex!$F28:'Capex'!J28)*I$31*I$32</f>
        <v>2.1186273937500006</v>
      </c>
      <c r="J36" s="3">
        <f>SUM(Capex!$F28:'Capex'!K28)*J$31*J$32</f>
        <v>4.4491175268750016</v>
      </c>
      <c r="K36" s="3">
        <f>SUM(Capex!$F28:'Capex'!L28)*K$31*K$32</f>
        <v>4.6715734032187521</v>
      </c>
      <c r="L36" s="3">
        <f>SUM(Capex!$F28:'Capex'!M28)*L$31*L$32</f>
        <v>4.9051520733796901</v>
      </c>
      <c r="M36" s="3">
        <f>SUM(Capex!$F28:'Capex'!N28)*M$31*M$32</f>
        <v>5.1504096770486747</v>
      </c>
    </row>
    <row r="37" spans="2:15" x14ac:dyDescent="0.35">
      <c r="B37" s="3" t="s">
        <v>22</v>
      </c>
      <c r="D37" s="3">
        <f>SUM(Capex!$F29:'Capex'!E29)*D$31*D$32</f>
        <v>0</v>
      </c>
      <c r="E37" s="3">
        <f>SUM(Capex!$F29:'Capex'!F29)*E$31*E$32</f>
        <v>0</v>
      </c>
      <c r="F37" s="3">
        <f>SUM(Capex!$F29:'Capex'!G29)*F$31*F$32</f>
        <v>0</v>
      </c>
      <c r="G37" s="3">
        <f>SUM(Capex!$F29:'Capex'!H29)*G$31*G$32</f>
        <v>0.96082875000000023</v>
      </c>
      <c r="H37" s="3">
        <f>SUM(Capex!$F29:'Capex'!I29)*H$31*H$32</f>
        <v>1.0088701875000003</v>
      </c>
      <c r="I37" s="3">
        <f>SUM(Capex!$F29:'Capex'!J29)*I$31*I$32</f>
        <v>1.0593136968750003</v>
      </c>
      <c r="J37" s="3">
        <f>SUM(Capex!$F29:'Capex'!K29)*J$31*J$32</f>
        <v>1.1122793817187504</v>
      </c>
      <c r="K37" s="3">
        <f>SUM(Capex!$F29:'Capex'!L29)*K$31*K$32</f>
        <v>1.167893350804688</v>
      </c>
      <c r="L37" s="3">
        <f>SUM(Capex!$F29:'Capex'!M29)*L$31*L$32</f>
        <v>1.2262880183449225</v>
      </c>
      <c r="M37" s="3">
        <f>SUM(Capex!$F29:'Capex'!N29)*M$31*M$32</f>
        <v>1.2876024192621687</v>
      </c>
    </row>
    <row r="38" spans="2:15" x14ac:dyDescent="0.35">
      <c r="B38" s="3" t="s">
        <v>23</v>
      </c>
      <c r="D38" s="3">
        <f>SUM(Capex!$F30:'Capex'!E30)*D$31*D$32</f>
        <v>0</v>
      </c>
      <c r="E38" s="3">
        <f>SUM(Capex!$F30:'Capex'!F30)*E$31*E$32</f>
        <v>0</v>
      </c>
      <c r="F38" s="3">
        <f>SUM(Capex!$F30:'Capex'!G30)*F$31*F$32</f>
        <v>0</v>
      </c>
      <c r="G38" s="3">
        <f>SUM(Capex!$F30:'Capex'!H30)*G$31*G$32</f>
        <v>0.96082875000000023</v>
      </c>
      <c r="H38" s="3">
        <f>SUM(Capex!$F30:'Capex'!I30)*H$31*H$32</f>
        <v>1.0088701875000003</v>
      </c>
      <c r="I38" s="3">
        <f>SUM(Capex!$F30:'Capex'!J30)*I$31*I$32</f>
        <v>1.0593136968750003</v>
      </c>
      <c r="J38" s="3">
        <f>SUM(Capex!$F30:'Capex'!K30)*J$31*J$32</f>
        <v>1.1122793817187504</v>
      </c>
      <c r="K38" s="3">
        <f>SUM(Capex!$F30:'Capex'!L30)*K$31*K$32</f>
        <v>1.167893350804688</v>
      </c>
      <c r="L38" s="3">
        <f>SUM(Capex!$F30:'Capex'!M30)*L$31*L$32</f>
        <v>1.2262880183449225</v>
      </c>
      <c r="M38" s="3">
        <f>SUM(Capex!$F30:'Capex'!N30)*M$31*M$32</f>
        <v>1.2876024192621687</v>
      </c>
    </row>
    <row r="39" spans="2:15" x14ac:dyDescent="0.35">
      <c r="B39" s="3" t="s">
        <v>24</v>
      </c>
      <c r="D39" s="3">
        <f>SUM(Capex!$F31:'Capex'!E31)*D$31*D$32</f>
        <v>0</v>
      </c>
      <c r="E39" s="3">
        <f>SUM(Capex!$F31:'Capex'!F31)*E$31*E$32</f>
        <v>0</v>
      </c>
      <c r="F39" s="3">
        <f>SUM(Capex!$F31:'Capex'!G31)*F$31*F$32</f>
        <v>0.34315312500000011</v>
      </c>
      <c r="G39" s="3">
        <f>SUM(Capex!$F31:'Capex'!H31)*G$31*G$32</f>
        <v>0.36031078125000016</v>
      </c>
      <c r="H39" s="3">
        <f>SUM(Capex!$F31:'Capex'!I31)*H$31*H$32</f>
        <v>0.37832632031250019</v>
      </c>
      <c r="I39" s="3">
        <f>SUM(Capex!$F31:'Capex'!J31)*I$31*I$32</f>
        <v>0.39724263632812523</v>
      </c>
      <c r="J39" s="3">
        <f>SUM(Capex!$F31:'Capex'!K31)*J$31*J$32</f>
        <v>0.41710476814453151</v>
      </c>
      <c r="K39" s="3">
        <f>SUM(Capex!$F31:'Capex'!L31)*K$31*K$32</f>
        <v>0.4379600065517581</v>
      </c>
      <c r="L39" s="3">
        <f>SUM(Capex!$F31:'Capex'!M31)*L$31*L$32</f>
        <v>0.45985800687934597</v>
      </c>
      <c r="M39" s="3">
        <f>SUM(Capex!$F31:'Capex'!N31)*M$31*M$32</f>
        <v>0.48285090722331331</v>
      </c>
    </row>
    <row r="40" spans="2:15" x14ac:dyDescent="0.35">
      <c r="B40" s="3" t="s">
        <v>25</v>
      </c>
      <c r="D40" s="3">
        <f>SUM(Capex!$F32:'Capex'!E32)*D$31*D$32</f>
        <v>0</v>
      </c>
      <c r="E40" s="3">
        <f>SUM(Capex!$F32:'Capex'!F32)*E$31*E$32</f>
        <v>0</v>
      </c>
      <c r="F40" s="3">
        <f>SUM(Capex!$F32:'Capex'!G32)*F$31*F$32</f>
        <v>0.45753750000000004</v>
      </c>
      <c r="G40" s="3">
        <f>SUM(Capex!$F32:'Capex'!H32)*G$31*G$32</f>
        <v>0.48041437500000012</v>
      </c>
      <c r="H40" s="3">
        <f>SUM(Capex!$F32:'Capex'!I32)*H$31*H$32</f>
        <v>0.50443509375000017</v>
      </c>
      <c r="I40" s="3">
        <f>SUM(Capex!$F32:'Capex'!J32)*I$31*I$32</f>
        <v>0.52965684843750016</v>
      </c>
      <c r="J40" s="3">
        <f>SUM(Capex!$F32:'Capex'!K32)*J$31*J$32</f>
        <v>0.5561396908593752</v>
      </c>
      <c r="K40" s="3">
        <f>SUM(Capex!$F32:'Capex'!L32)*K$31*K$32</f>
        <v>0.58394667540234402</v>
      </c>
      <c r="L40" s="3">
        <f>SUM(Capex!$F32:'Capex'!M32)*L$31*L$32</f>
        <v>0.61314400917246126</v>
      </c>
      <c r="M40" s="3">
        <f>SUM(Capex!$F32:'Capex'!N32)*M$31*M$32</f>
        <v>0.64380120963108434</v>
      </c>
    </row>
    <row r="41" spans="2:15" x14ac:dyDescent="0.35">
      <c r="B41" s="3" t="s">
        <v>26</v>
      </c>
      <c r="D41" s="3">
        <f>SUM(Capex!$F33:'Capex'!E33)*D$31*D$32</f>
        <v>0</v>
      </c>
      <c r="E41" s="3">
        <f>SUM(Capex!$F33:'Capex'!F33)*E$31*E$32</f>
        <v>0</v>
      </c>
      <c r="F41" s="3">
        <f>SUM(Capex!$F33:'Capex'!G33)*F$31*F$32</f>
        <v>0</v>
      </c>
      <c r="G41" s="3">
        <f>SUM(Capex!$F33:'Capex'!H33)*G$31*G$32</f>
        <v>0</v>
      </c>
      <c r="H41" s="3">
        <f>SUM(Capex!$F33:'Capex'!I33)*H$31*H$32</f>
        <v>0.10088701875000004</v>
      </c>
      <c r="I41" s="3">
        <f>SUM(Capex!$F33:'Capex'!J33)*I$31*I$32</f>
        <v>0.10593136968750005</v>
      </c>
      <c r="J41" s="3">
        <f>SUM(Capex!$F33:'Capex'!K33)*J$31*J$32</f>
        <v>0.11122793817187505</v>
      </c>
      <c r="K41" s="3">
        <f>SUM(Capex!$F33:'Capex'!L33)*K$31*K$32</f>
        <v>0.11678933508046882</v>
      </c>
      <c r="L41" s="3">
        <f>SUM(Capex!$F33:'Capex'!M33)*L$31*L$32</f>
        <v>0.12262880183449226</v>
      </c>
      <c r="M41" s="3">
        <f>SUM(Capex!$F33:'Capex'!N33)*M$31*M$32</f>
        <v>0.12876024192621688</v>
      </c>
    </row>
    <row r="42" spans="2:15" x14ac:dyDescent="0.35"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5" x14ac:dyDescent="0.35">
      <c r="B43" s="44" t="s">
        <v>66</v>
      </c>
      <c r="C43" s="37"/>
      <c r="D43" s="44">
        <f t="shared" ref="D43:E43" si="5">SUM(D34:D41)</f>
        <v>0.17499890000000001</v>
      </c>
      <c r="E43" s="44">
        <f t="shared" si="5"/>
        <v>0.43575000000000008</v>
      </c>
      <c r="F43" s="44">
        <f>SUM(F34:F41)</f>
        <v>2.4020718750000003</v>
      </c>
      <c r="G43" s="44">
        <f t="shared" ref="G43:M43" si="6">SUM(G34:G41)</f>
        <v>7.0861120312500017</v>
      </c>
      <c r="H43" s="44">
        <f t="shared" si="6"/>
        <v>8.0406953943750032</v>
      </c>
      <c r="I43" s="44">
        <f t="shared" si="6"/>
        <v>8.4427301640937529</v>
      </c>
      <c r="J43" s="44">
        <f t="shared" si="6"/>
        <v>11.089425435735942</v>
      </c>
      <c r="K43" s="44">
        <f t="shared" si="6"/>
        <v>11.643896707522741</v>
      </c>
      <c r="L43" s="44">
        <f t="shared" si="6"/>
        <v>12.226091542898878</v>
      </c>
      <c r="M43" s="44">
        <f t="shared" si="6"/>
        <v>12.83739612004382</v>
      </c>
    </row>
    <row r="44" spans="2:15" x14ac:dyDescent="0.35">
      <c r="D44"/>
      <c r="H44" s="9"/>
      <c r="I44" s="9"/>
      <c r="J44" s="9"/>
      <c r="K44" s="9"/>
      <c r="L44" s="9"/>
      <c r="M44" s="9"/>
      <c r="N44" s="9"/>
      <c r="O44" s="9"/>
    </row>
    <row r="45" spans="2:15" ht="21" x14ac:dyDescent="0.5">
      <c r="B45" s="91" t="s">
        <v>43</v>
      </c>
    </row>
    <row r="46" spans="2:15" x14ac:dyDescent="0.35">
      <c r="B46" s="175" t="s">
        <v>243</v>
      </c>
    </row>
    <row r="47" spans="2:15" x14ac:dyDescent="0.35">
      <c r="B47" s="172" t="s">
        <v>274</v>
      </c>
      <c r="C47" s="176"/>
      <c r="D47" s="7">
        <f>BA!D92</f>
        <v>600000</v>
      </c>
      <c r="E47" s="7">
        <f>BA!E92</f>
        <v>630000</v>
      </c>
      <c r="F47" s="7">
        <f>BA!F92</f>
        <v>661500</v>
      </c>
      <c r="G47" s="7">
        <f>BA!G92</f>
        <v>694575.00000000012</v>
      </c>
      <c r="H47" s="7">
        <f>BA!H92</f>
        <v>729303.75000000012</v>
      </c>
      <c r="I47" s="7">
        <f>BA!I92</f>
        <v>765768.93750000023</v>
      </c>
      <c r="J47" s="7">
        <f>BA!J92</f>
        <v>804057.38437500026</v>
      </c>
      <c r="K47" s="7">
        <f>BA!K92</f>
        <v>844260.2535937503</v>
      </c>
      <c r="L47" s="7">
        <f>BA!L92</f>
        <v>886473.26627343777</v>
      </c>
      <c r="M47" s="7">
        <f>BA!M92</f>
        <v>930796.92958710971</v>
      </c>
    </row>
    <row r="48" spans="2:15" x14ac:dyDescent="0.35">
      <c r="B48" s="177" t="s">
        <v>269</v>
      </c>
      <c r="C48" s="176"/>
      <c r="D48"/>
      <c r="E48" s="3">
        <f>BA!G39</f>
        <v>10</v>
      </c>
      <c r="F48" s="3">
        <f>BA!H39+E48</f>
        <v>44</v>
      </c>
      <c r="G48" s="3">
        <f>BA!I39+F48</f>
        <v>74</v>
      </c>
      <c r="H48" s="3">
        <f>BA!J39+G48</f>
        <v>101.5</v>
      </c>
      <c r="I48" s="3">
        <f>BA!K39+H48</f>
        <v>125.5</v>
      </c>
      <c r="J48" s="3">
        <f>BA!L39+I48</f>
        <v>149.5</v>
      </c>
      <c r="K48" s="3">
        <f>BA!M39+J48</f>
        <v>149.5</v>
      </c>
      <c r="L48" s="3">
        <f>BA!N39+K48</f>
        <v>149.5</v>
      </c>
      <c r="M48" s="3">
        <f>BA!O39+L48</f>
        <v>149.5</v>
      </c>
    </row>
    <row r="49" spans="2:13" x14ac:dyDescent="0.35">
      <c r="B49" s="179" t="s">
        <v>278</v>
      </c>
      <c r="C49" s="180"/>
      <c r="D49" s="181">
        <f>D47*D48/10^7</f>
        <v>0</v>
      </c>
      <c r="E49" s="181">
        <f t="shared" ref="E49:M49" si="7">E47*E48/10^7</f>
        <v>0.63</v>
      </c>
      <c r="F49" s="181">
        <f t="shared" si="7"/>
        <v>2.9106000000000001</v>
      </c>
      <c r="G49" s="181">
        <f t="shared" si="7"/>
        <v>5.1398550000000007</v>
      </c>
      <c r="H49" s="181">
        <f t="shared" si="7"/>
        <v>7.4024330625000019</v>
      </c>
      <c r="I49" s="181">
        <f t="shared" si="7"/>
        <v>9.6104001656250038</v>
      </c>
      <c r="J49" s="181">
        <f t="shared" si="7"/>
        <v>12.020657896406254</v>
      </c>
      <c r="K49" s="181">
        <f t="shared" si="7"/>
        <v>12.621690791226568</v>
      </c>
      <c r="L49" s="181">
        <f t="shared" si="7"/>
        <v>13.252775330787895</v>
      </c>
      <c r="M49" s="181">
        <f t="shared" si="7"/>
        <v>13.91541409732729</v>
      </c>
    </row>
    <row r="50" spans="2:13" x14ac:dyDescent="0.35">
      <c r="B50" s="175"/>
      <c r="C50" s="176"/>
    </row>
    <row r="51" spans="2:13" x14ac:dyDescent="0.35">
      <c r="B51" s="175" t="s">
        <v>279</v>
      </c>
      <c r="C51" s="176"/>
    </row>
    <row r="52" spans="2:13" x14ac:dyDescent="0.35">
      <c r="B52" s="177" t="s">
        <v>280</v>
      </c>
      <c r="C52" s="176"/>
      <c r="D52" s="46">
        <f>BA!D120*BA!D121*6/12</f>
        <v>0.18000000000000002</v>
      </c>
      <c r="E52" s="46">
        <f>BA!E120*BA!E121</f>
        <v>0.378</v>
      </c>
      <c r="F52" s="46">
        <f>BA!F120*BA!F121</f>
        <v>0.39689999999999998</v>
      </c>
      <c r="G52" s="46">
        <f>BA!G120*BA!G121</f>
        <v>0.41674500000000003</v>
      </c>
      <c r="H52" s="46">
        <f>BA!H120*BA!H121</f>
        <v>0.43758225000000006</v>
      </c>
      <c r="I52" s="46">
        <f>BA!I120*BA!I121</f>
        <v>0.45946136250000014</v>
      </c>
      <c r="J52" s="46">
        <f>BA!J120*BA!J121</f>
        <v>0.48243443062500013</v>
      </c>
      <c r="K52" s="46">
        <f>BA!K120*BA!K121</f>
        <v>0.50655615215625016</v>
      </c>
      <c r="L52" s="46">
        <f>BA!L120*BA!L121</f>
        <v>0.53188395976406266</v>
      </c>
      <c r="M52" s="46">
        <f>BA!M120*BA!M121</f>
        <v>0.55847815775226584</v>
      </c>
    </row>
    <row r="53" spans="2:13" s="1" customFormat="1" x14ac:dyDescent="0.35">
      <c r="B53" s="182" t="s">
        <v>281</v>
      </c>
      <c r="C53" s="37"/>
      <c r="D53" s="183">
        <f>D52+D49</f>
        <v>0.18000000000000002</v>
      </c>
      <c r="E53" s="183">
        <f t="shared" ref="E53:M53" si="8">E52+E49</f>
        <v>1.008</v>
      </c>
      <c r="F53" s="183">
        <f t="shared" si="8"/>
        <v>3.3075000000000001</v>
      </c>
      <c r="G53" s="183">
        <f t="shared" si="8"/>
        <v>5.5566000000000004</v>
      </c>
      <c r="H53" s="183">
        <f t="shared" si="8"/>
        <v>7.8400153125000021</v>
      </c>
      <c r="I53" s="183">
        <f t="shared" si="8"/>
        <v>10.069861528125005</v>
      </c>
      <c r="J53" s="183">
        <f t="shared" si="8"/>
        <v>12.503092327031254</v>
      </c>
      <c r="K53" s="183">
        <f t="shared" si="8"/>
        <v>13.128246943382818</v>
      </c>
      <c r="L53" s="183">
        <f t="shared" si="8"/>
        <v>13.784659290551957</v>
      </c>
      <c r="M53" s="183">
        <f t="shared" si="8"/>
        <v>14.473892255079555</v>
      </c>
    </row>
    <row r="54" spans="2:13" x14ac:dyDescent="0.35">
      <c r="B54" s="175"/>
      <c r="C54" s="176"/>
    </row>
    <row r="56" spans="2:13" ht="18.5" x14ac:dyDescent="0.45">
      <c r="B56" s="68" t="s">
        <v>146</v>
      </c>
    </row>
    <row r="57" spans="2:13" x14ac:dyDescent="0.35">
      <c r="B57" s="3" t="s">
        <v>293</v>
      </c>
      <c r="C57" s="8">
        <f>C8</f>
        <v>0</v>
      </c>
      <c r="D57" s="8">
        <f t="shared" ref="D57:M57" si="9">D8</f>
        <v>32.116565625</v>
      </c>
      <c r="E57" s="8">
        <f t="shared" si="9"/>
        <v>101.065685</v>
      </c>
      <c r="F57" s="8">
        <f t="shared" si="9"/>
        <v>187.73173274999996</v>
      </c>
      <c r="G57" s="8">
        <f t="shared" si="9"/>
        <v>347.3123306101561</v>
      </c>
      <c r="H57" s="8">
        <f t="shared" si="9"/>
        <v>563.65909532138846</v>
      </c>
      <c r="I57" s="8">
        <f t="shared" si="9"/>
        <v>756.63770508327491</v>
      </c>
      <c r="J57" s="8">
        <f t="shared" si="9"/>
        <v>936.47977772290801</v>
      </c>
      <c r="K57" s="8">
        <f t="shared" si="9"/>
        <v>1110.1973167137169</v>
      </c>
      <c r="L57" s="8">
        <f t="shared" si="9"/>
        <v>1248.9683669096485</v>
      </c>
      <c r="M57" s="8">
        <f t="shared" si="9"/>
        <v>1319.6712667675056</v>
      </c>
    </row>
    <row r="58" spans="2:13" x14ac:dyDescent="0.35">
      <c r="B58" s="3" t="s">
        <v>294</v>
      </c>
      <c r="D58" s="212">
        <f>BA!D68</f>
        <v>0.22271837226524746</v>
      </c>
      <c r="E58" s="212">
        <f>BA!E68</f>
        <v>0.21118161076947831</v>
      </c>
      <c r="F58" s="212">
        <f>BA!F68</f>
        <v>0.18078422057491136</v>
      </c>
      <c r="G58" s="212">
        <f>BA!G68</f>
        <v>0.16385835910694849</v>
      </c>
      <c r="H58" s="212">
        <f>BA!H68</f>
        <v>0.15357424855515475</v>
      </c>
      <c r="I58" s="212">
        <f>BA!I68</f>
        <v>0.14267832599428801</v>
      </c>
      <c r="J58" s="212">
        <f>BA!J68</f>
        <v>0.13699693289621909</v>
      </c>
      <c r="K58" s="212">
        <f>BA!K68</f>
        <v>0.13329499675915407</v>
      </c>
      <c r="L58" s="212">
        <f>BA!L68</f>
        <v>0.13119467603638016</v>
      </c>
      <c r="M58" s="212">
        <f>BA!M68</f>
        <v>0.13055089192992328</v>
      </c>
    </row>
    <row r="59" spans="2:13" s="1" customFormat="1" x14ac:dyDescent="0.35">
      <c r="B59" s="44" t="s">
        <v>281</v>
      </c>
      <c r="C59" s="37"/>
      <c r="D59" s="213">
        <f>D57*D58</f>
        <v>7.1529492187499999</v>
      </c>
      <c r="E59" s="213">
        <f t="shared" ref="E59:M59" si="10">E57*E58</f>
        <v>21.343214151820703</v>
      </c>
      <c r="F59" s="213">
        <f t="shared" si="10"/>
        <v>33.938934982386307</v>
      </c>
      <c r="G59" s="213">
        <f t="shared" si="10"/>
        <v>56.910028591390173</v>
      </c>
      <c r="H59" s="213">
        <f t="shared" si="10"/>
        <v>86.56352200526058</v>
      </c>
      <c r="I59" s="213">
        <f t="shared" si="10"/>
        <v>107.95580114544144</v>
      </c>
      <c r="J59" s="213">
        <f t="shared" si="10"/>
        <v>128.29485726737138</v>
      </c>
      <c r="K59" s="213">
        <f t="shared" si="10"/>
        <v>147.98374773337645</v>
      </c>
      <c r="L59" s="213">
        <f t="shared" si="10"/>
        <v>163.85800027639812</v>
      </c>
      <c r="M59" s="213">
        <f t="shared" si="10"/>
        <v>172.28426093078957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35"/>
  <sheetViews>
    <sheetView showGridLines="0" workbookViewId="0">
      <pane xSplit="1" ySplit="1" topLeftCell="B123" activePane="bottomRight" state="frozen"/>
      <selection pane="topRight" activeCell="B1" sqref="B1"/>
      <selection pane="bottomLeft" activeCell="A3" sqref="A3"/>
      <selection pane="bottomRight" activeCell="B131" sqref="B131:B134"/>
    </sheetView>
  </sheetViews>
  <sheetFormatPr defaultRowHeight="14.5" x14ac:dyDescent="0.35"/>
  <cols>
    <col min="1" max="1" width="2.7265625" customWidth="1"/>
    <col min="2" max="2" width="37.7265625" style="3" bestFit="1" customWidth="1"/>
    <col min="3" max="3" width="11.453125" customWidth="1"/>
    <col min="4" max="4" width="10.54296875" customWidth="1"/>
    <col min="5" max="14" width="12.1796875" customWidth="1"/>
    <col min="15" max="15" width="15" customWidth="1"/>
    <col min="16" max="16" width="13.453125" bestFit="1" customWidth="1"/>
    <col min="17" max="19" width="13.26953125" bestFit="1" customWidth="1"/>
    <col min="20" max="40" width="14.81640625" bestFit="1" customWidth="1"/>
  </cols>
  <sheetData>
    <row r="1" spans="2:14" ht="18.5" x14ac:dyDescent="0.45">
      <c r="B1" s="68" t="s">
        <v>68</v>
      </c>
    </row>
    <row r="2" spans="2:14" x14ac:dyDescent="0.35">
      <c r="B2" s="32"/>
      <c r="F2" s="9"/>
      <c r="G2" s="9"/>
      <c r="H2" s="9"/>
      <c r="N2" s="31"/>
    </row>
    <row r="3" spans="2:14" ht="18.5" x14ac:dyDescent="0.45">
      <c r="B3" s="156" t="s">
        <v>30</v>
      </c>
      <c r="F3" s="9"/>
      <c r="G3" s="9"/>
      <c r="H3" s="9"/>
      <c r="N3" s="31"/>
    </row>
    <row r="4" spans="2:14" ht="10" customHeight="1" x14ac:dyDescent="0.45">
      <c r="B4" s="156"/>
      <c r="F4" s="9"/>
      <c r="G4" s="9"/>
      <c r="H4" s="9"/>
      <c r="N4" s="31"/>
    </row>
    <row r="5" spans="2:14" s="1" customFormat="1" ht="15" customHeight="1" x14ac:dyDescent="0.35">
      <c r="B5" s="58"/>
      <c r="C5" s="27" t="s">
        <v>101</v>
      </c>
      <c r="D5" s="26" t="s">
        <v>64</v>
      </c>
      <c r="E5" s="27" t="s">
        <v>77</v>
      </c>
      <c r="F5" s="73" t="s">
        <v>99</v>
      </c>
      <c r="G5" s="125" t="s">
        <v>102</v>
      </c>
      <c r="H5" s="125" t="s">
        <v>102</v>
      </c>
      <c r="I5" s="125" t="s">
        <v>102</v>
      </c>
      <c r="J5" s="125" t="s">
        <v>102</v>
      </c>
      <c r="K5" s="125" t="s">
        <v>102</v>
      </c>
      <c r="L5" s="125" t="s">
        <v>102</v>
      </c>
      <c r="M5" s="125" t="s">
        <v>102</v>
      </c>
      <c r="N5" s="125" t="s">
        <v>102</v>
      </c>
    </row>
    <row r="6" spans="2:14" s="4" customFormat="1" x14ac:dyDescent="0.35">
      <c r="B6" s="58" t="s">
        <v>88</v>
      </c>
      <c r="C6" s="73" t="s">
        <v>102</v>
      </c>
      <c r="D6" s="26" t="s">
        <v>189</v>
      </c>
      <c r="E6" s="124" t="s">
        <v>190</v>
      </c>
      <c r="F6" s="73" t="s">
        <v>100</v>
      </c>
      <c r="G6" s="71">
        <v>44651</v>
      </c>
      <c r="H6" s="71">
        <v>45016</v>
      </c>
      <c r="I6" s="71">
        <v>45382</v>
      </c>
      <c r="J6" s="71">
        <v>45747</v>
      </c>
      <c r="K6" s="71">
        <v>46112</v>
      </c>
      <c r="L6" s="71">
        <v>46477</v>
      </c>
      <c r="M6" s="71">
        <v>46843</v>
      </c>
      <c r="N6" s="71">
        <v>47208</v>
      </c>
    </row>
    <row r="7" spans="2:14" s="6" customFormat="1" x14ac:dyDescent="0.35">
      <c r="B7" s="3" t="s">
        <v>20</v>
      </c>
      <c r="C7" s="52">
        <v>1</v>
      </c>
      <c r="D7" s="53">
        <v>19.809999999999999</v>
      </c>
      <c r="E7" s="53">
        <v>1</v>
      </c>
      <c r="F7" s="72">
        <f t="shared" ref="F7:F13" si="0">C7-E7</f>
        <v>0</v>
      </c>
      <c r="G7" s="72">
        <f t="shared" ref="G7:G13" si="1">F7</f>
        <v>0</v>
      </c>
      <c r="H7" s="72"/>
      <c r="I7" s="74"/>
      <c r="J7" s="5"/>
      <c r="K7" s="5"/>
      <c r="L7" s="5"/>
      <c r="M7" s="5"/>
    </row>
    <row r="8" spans="2:14" s="6" customFormat="1" x14ac:dyDescent="0.35">
      <c r="B8" s="3" t="s">
        <v>21</v>
      </c>
      <c r="C8" s="52">
        <v>4.75</v>
      </c>
      <c r="D8" s="53">
        <v>24</v>
      </c>
      <c r="E8" s="53">
        <v>0.41</v>
      </c>
      <c r="F8" s="72">
        <f t="shared" si="0"/>
        <v>4.34</v>
      </c>
      <c r="G8" s="72">
        <f>F8-0.5</f>
        <v>3.84</v>
      </c>
      <c r="H8" s="72">
        <v>0.5</v>
      </c>
      <c r="I8" s="74"/>
      <c r="J8" s="5"/>
      <c r="K8" s="5"/>
      <c r="L8" s="5"/>
      <c r="M8" s="5"/>
    </row>
    <row r="9" spans="2:14" s="6" customFormat="1" x14ac:dyDescent="0.35">
      <c r="B9" s="3" t="s">
        <v>22</v>
      </c>
      <c r="C9" s="52">
        <v>2.5</v>
      </c>
      <c r="D9" s="53">
        <v>28</v>
      </c>
      <c r="E9" s="53">
        <v>0</v>
      </c>
      <c r="F9" s="72">
        <f t="shared" si="0"/>
        <v>2.5</v>
      </c>
      <c r="G9" s="72">
        <f t="shared" si="1"/>
        <v>2.5</v>
      </c>
      <c r="H9" s="72"/>
      <c r="I9" s="74"/>
      <c r="J9" s="5"/>
      <c r="K9" s="5"/>
      <c r="L9" s="5"/>
      <c r="M9" s="5"/>
    </row>
    <row r="10" spans="2:14" s="6" customFormat="1" x14ac:dyDescent="0.35">
      <c r="B10" s="3" t="s">
        <v>23</v>
      </c>
      <c r="C10" s="52">
        <v>1.58</v>
      </c>
      <c r="D10" s="53">
        <v>20.074999999999999</v>
      </c>
      <c r="E10" s="53">
        <v>1.58</v>
      </c>
      <c r="F10" s="72">
        <f t="shared" si="0"/>
        <v>0</v>
      </c>
      <c r="G10" s="72">
        <f t="shared" si="1"/>
        <v>0</v>
      </c>
      <c r="H10" s="72"/>
      <c r="I10" s="74"/>
      <c r="J10" s="5"/>
      <c r="K10" s="5"/>
      <c r="L10" s="5"/>
      <c r="M10" s="5"/>
    </row>
    <row r="11" spans="2:14" s="6" customFormat="1" x14ac:dyDescent="0.35">
      <c r="B11" s="3" t="s">
        <v>24</v>
      </c>
      <c r="C11" s="52">
        <v>1.86</v>
      </c>
      <c r="D11" s="53">
        <v>17.600000000000001</v>
      </c>
      <c r="E11" s="53">
        <v>0</v>
      </c>
      <c r="F11" s="72">
        <f t="shared" si="0"/>
        <v>1.86</v>
      </c>
      <c r="G11" s="72">
        <f t="shared" si="1"/>
        <v>1.86</v>
      </c>
      <c r="H11" s="72"/>
      <c r="I11" s="74"/>
      <c r="J11" s="5"/>
      <c r="K11" s="5"/>
      <c r="L11" s="5"/>
      <c r="M11" s="5"/>
    </row>
    <row r="12" spans="2:14" s="6" customFormat="1" x14ac:dyDescent="0.35">
      <c r="B12" s="3" t="s">
        <v>25</v>
      </c>
      <c r="C12" s="52">
        <v>1</v>
      </c>
      <c r="D12" s="53">
        <v>45</v>
      </c>
      <c r="E12" s="53">
        <v>0</v>
      </c>
      <c r="F12" s="72">
        <f t="shared" si="0"/>
        <v>1</v>
      </c>
      <c r="G12" s="72">
        <f t="shared" si="1"/>
        <v>1</v>
      </c>
      <c r="H12" s="72"/>
      <c r="I12" s="74"/>
      <c r="J12" s="5"/>
      <c r="K12" s="5"/>
      <c r="L12" s="5"/>
      <c r="M12" s="5"/>
    </row>
    <row r="13" spans="2:14" s="6" customFormat="1" x14ac:dyDescent="0.35">
      <c r="B13" s="3" t="s">
        <v>26</v>
      </c>
      <c r="C13" s="52">
        <v>0.5</v>
      </c>
      <c r="D13" s="53">
        <v>20</v>
      </c>
      <c r="E13" s="53">
        <v>0</v>
      </c>
      <c r="F13" s="72">
        <f t="shared" si="0"/>
        <v>0.5</v>
      </c>
      <c r="G13" s="72">
        <f t="shared" si="1"/>
        <v>0.5</v>
      </c>
      <c r="H13" s="72"/>
      <c r="I13" s="74"/>
      <c r="J13" s="5"/>
      <c r="K13" s="5"/>
      <c r="L13" s="5"/>
      <c r="M13" s="5"/>
    </row>
    <row r="14" spans="2:14" s="5" customFormat="1" x14ac:dyDescent="0.35">
      <c r="B14" s="44"/>
      <c r="C14" s="75">
        <f>SUM(C7:C13)</f>
        <v>13.19</v>
      </c>
      <c r="D14" s="60">
        <f>SUMPRODUCT(D7:D13,C7:C13)</f>
        <v>323.2645</v>
      </c>
      <c r="E14" s="60">
        <f>SUM(E7:E13)</f>
        <v>2.99</v>
      </c>
      <c r="F14" s="75">
        <f>SUM(F7:F13)</f>
        <v>10.199999999999999</v>
      </c>
      <c r="G14" s="75">
        <f>SUM(G7:G13)</f>
        <v>9.6999999999999993</v>
      </c>
      <c r="H14" s="75">
        <f>SUM(H7:H13)</f>
        <v>0.5</v>
      </c>
      <c r="I14" s="34"/>
      <c r="J14" s="34"/>
      <c r="K14" s="34"/>
      <c r="L14" s="34"/>
      <c r="M14" s="34"/>
      <c r="N14" s="34"/>
    </row>
    <row r="15" spans="2:14" s="6" customFormat="1" x14ac:dyDescent="0.35">
      <c r="B15" s="13"/>
      <c r="C15" s="30"/>
      <c r="D15" s="32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x14ac:dyDescent="0.35">
      <c r="B16" s="32"/>
    </row>
    <row r="17" spans="2:15 16384:16384" x14ac:dyDescent="0.35">
      <c r="B17" s="58" t="s">
        <v>28</v>
      </c>
      <c r="C17" s="45" t="s">
        <v>29</v>
      </c>
      <c r="D17" s="45" t="s">
        <v>33</v>
      </c>
      <c r="E17" s="45" t="s">
        <v>79</v>
      </c>
      <c r="F17" s="71">
        <v>44651</v>
      </c>
      <c r="G17" s="71">
        <v>45016</v>
      </c>
      <c r="H17" s="71">
        <v>45382</v>
      </c>
      <c r="I17" s="71">
        <v>45747</v>
      </c>
      <c r="J17" s="71">
        <v>46112</v>
      </c>
      <c r="K17" s="71">
        <v>46477</v>
      </c>
      <c r="L17" s="71">
        <v>46843</v>
      </c>
      <c r="M17" s="71">
        <v>47208</v>
      </c>
      <c r="N17" s="71">
        <v>47573</v>
      </c>
      <c r="O17" s="138"/>
    </row>
    <row r="18" spans="2:15 16384:16384" x14ac:dyDescent="0.35">
      <c r="B18" s="3" t="s">
        <v>105</v>
      </c>
      <c r="C18" s="45"/>
      <c r="D18" s="45"/>
      <c r="E18" s="45"/>
      <c r="F18" s="71"/>
      <c r="G18" s="71"/>
      <c r="H18" s="71"/>
      <c r="I18" s="71"/>
      <c r="J18" s="71"/>
      <c r="K18" s="71"/>
      <c r="L18" s="71"/>
      <c r="M18" s="71"/>
      <c r="N18" s="71"/>
      <c r="O18" s="138"/>
    </row>
    <row r="19" spans="2:15 16384:16384" x14ac:dyDescent="0.35">
      <c r="B19" s="3" t="s">
        <v>20</v>
      </c>
      <c r="C19" s="55">
        <v>120000</v>
      </c>
      <c r="D19" s="55">
        <f>4000</f>
        <v>4000</v>
      </c>
      <c r="E19" s="77">
        <v>44742</v>
      </c>
      <c r="F19" s="56">
        <v>0.7</v>
      </c>
      <c r="G19" s="56">
        <v>0.3</v>
      </c>
      <c r="H19" s="25"/>
      <c r="I19" s="54"/>
      <c r="J19" s="25"/>
      <c r="K19" s="25"/>
    </row>
    <row r="20" spans="2:15 16384:16384" x14ac:dyDescent="0.35">
      <c r="B20" s="3" t="s">
        <v>21</v>
      </c>
      <c r="C20" s="55">
        <f>C8*3*43560</f>
        <v>620730</v>
      </c>
      <c r="D20" s="55">
        <f>4000</f>
        <v>4000</v>
      </c>
      <c r="E20" s="77">
        <v>45107</v>
      </c>
      <c r="F20" s="56">
        <v>0</v>
      </c>
      <c r="G20" s="56">
        <v>0.4</v>
      </c>
      <c r="H20" s="56">
        <v>0.1</v>
      </c>
      <c r="I20" s="163">
        <v>0</v>
      </c>
      <c r="J20" s="56">
        <v>0.2</v>
      </c>
      <c r="K20" s="163">
        <v>0.3</v>
      </c>
    </row>
    <row r="21" spans="2:15 16384:16384" x14ac:dyDescent="0.35">
      <c r="B21" s="3" t="s">
        <v>22</v>
      </c>
      <c r="C21" s="55">
        <v>240000</v>
      </c>
      <c r="D21" s="55">
        <f>4000</f>
        <v>4000</v>
      </c>
      <c r="E21" s="77">
        <v>45199</v>
      </c>
      <c r="F21" s="25"/>
      <c r="G21" s="56">
        <v>0.6</v>
      </c>
      <c r="H21" s="56">
        <v>0.4</v>
      </c>
      <c r="I21" s="54"/>
      <c r="J21" s="25"/>
      <c r="K21" s="25"/>
    </row>
    <row r="22" spans="2:15 16384:16384" x14ac:dyDescent="0.35">
      <c r="B22" s="3" t="s">
        <v>23</v>
      </c>
      <c r="C22" s="55">
        <v>240000</v>
      </c>
      <c r="D22" s="55">
        <f>4000</f>
        <v>4000</v>
      </c>
      <c r="E22" s="77">
        <v>45016</v>
      </c>
      <c r="F22" s="25"/>
      <c r="G22" s="56">
        <v>1</v>
      </c>
      <c r="H22" s="25"/>
      <c r="I22" s="54"/>
      <c r="J22" s="25"/>
      <c r="K22" s="25"/>
    </row>
    <row r="23" spans="2:15 16384:16384" x14ac:dyDescent="0.35">
      <c r="B23" s="3" t="s">
        <v>24</v>
      </c>
      <c r="C23" s="55">
        <f>C11*43560</f>
        <v>81021.600000000006</v>
      </c>
      <c r="D23" s="55">
        <f>4000</f>
        <v>4000</v>
      </c>
      <c r="E23" s="77">
        <v>44651</v>
      </c>
      <c r="F23" s="56">
        <v>1</v>
      </c>
      <c r="G23" s="56"/>
      <c r="H23" s="25"/>
      <c r="I23" s="54"/>
      <c r="J23" s="25"/>
      <c r="K23" s="25"/>
    </row>
    <row r="24" spans="2:15 16384:16384" x14ac:dyDescent="0.35">
      <c r="B24" s="3" t="s">
        <v>25</v>
      </c>
      <c r="C24" s="55">
        <v>120000</v>
      </c>
      <c r="D24" s="55">
        <f>4000</f>
        <v>4000</v>
      </c>
      <c r="E24" s="77">
        <v>44651</v>
      </c>
      <c r="F24" s="56">
        <v>1</v>
      </c>
      <c r="G24" s="56"/>
      <c r="H24" s="25"/>
      <c r="I24" s="54"/>
      <c r="J24" s="25"/>
      <c r="K24" s="25"/>
    </row>
    <row r="25" spans="2:15 16384:16384" x14ac:dyDescent="0.35">
      <c r="B25" s="3" t="s">
        <v>26</v>
      </c>
      <c r="C25" s="55">
        <v>24000</v>
      </c>
      <c r="D25" s="55">
        <f>4000</f>
        <v>4000</v>
      </c>
      <c r="E25" s="77">
        <v>45382</v>
      </c>
      <c r="F25" s="25"/>
      <c r="G25" s="56"/>
      <c r="H25" s="56">
        <v>1</v>
      </c>
      <c r="I25" s="54"/>
      <c r="J25" s="25"/>
      <c r="K25" s="25"/>
    </row>
    <row r="26" spans="2:15 16384:16384" x14ac:dyDescent="0.35">
      <c r="B26" s="36" t="s">
        <v>191</v>
      </c>
      <c r="C26" s="50">
        <f>SUM(C19:C25)</f>
        <v>1445751.6</v>
      </c>
      <c r="D26" s="51">
        <f>SUMPRODUCT(C19:C25,D19:D25)/10^7</f>
        <v>578.30064000000004</v>
      </c>
      <c r="E26" s="22"/>
      <c r="F26" s="36">
        <f t="shared" ref="F26:K26" si="2">SUMPRODUCT($C$19:$C$25,$D$19:$D$25,F19:F25)/10^7</f>
        <v>114.00864</v>
      </c>
      <c r="G26" s="36">
        <f t="shared" si="2"/>
        <v>267.3168</v>
      </c>
      <c r="H26" s="36">
        <f t="shared" si="2"/>
        <v>72.8292</v>
      </c>
      <c r="I26" s="36">
        <f t="shared" si="2"/>
        <v>0</v>
      </c>
      <c r="J26" s="36">
        <f t="shared" si="2"/>
        <v>49.6584</v>
      </c>
      <c r="K26" s="36">
        <f t="shared" si="2"/>
        <v>74.4876</v>
      </c>
      <c r="L26" s="22"/>
      <c r="M26" s="22"/>
      <c r="N26" s="22"/>
      <c r="O26" s="22"/>
      <c r="XFD26" s="36"/>
    </row>
    <row r="28" spans="2:15 16384:16384" x14ac:dyDescent="0.35">
      <c r="D28" s="3"/>
    </row>
    <row r="29" spans="2:15 16384:16384" x14ac:dyDescent="0.35">
      <c r="B29" s="53"/>
      <c r="C29" s="25"/>
      <c r="D29" s="25"/>
      <c r="E29" s="25"/>
      <c r="F29" s="71">
        <v>44651</v>
      </c>
      <c r="G29" s="71">
        <v>45016</v>
      </c>
      <c r="H29" s="71">
        <v>45382</v>
      </c>
      <c r="I29" s="71">
        <v>45747</v>
      </c>
      <c r="J29" s="71">
        <v>46112</v>
      </c>
      <c r="K29" s="71">
        <v>46477</v>
      </c>
      <c r="L29" s="71">
        <v>46843</v>
      </c>
      <c r="M29" s="71">
        <v>47208</v>
      </c>
      <c r="N29" s="71">
        <v>47573</v>
      </c>
      <c r="O29" s="71">
        <v>47938</v>
      </c>
    </row>
    <row r="30" spans="2:15 16384:16384" x14ac:dyDescent="0.35">
      <c r="B30" s="58" t="s">
        <v>34</v>
      </c>
      <c r="C30" s="26" t="s">
        <v>35</v>
      </c>
      <c r="D30" s="26" t="s">
        <v>36</v>
      </c>
      <c r="E30" s="45" t="s">
        <v>79</v>
      </c>
      <c r="F30" s="126" t="s">
        <v>192</v>
      </c>
      <c r="G30" s="126" t="s">
        <v>192</v>
      </c>
      <c r="H30" s="126" t="s">
        <v>192</v>
      </c>
      <c r="I30" s="126" t="s">
        <v>192</v>
      </c>
      <c r="J30" s="126" t="s">
        <v>192</v>
      </c>
      <c r="K30" s="126" t="s">
        <v>192</v>
      </c>
      <c r="L30" s="126" t="s">
        <v>192</v>
      </c>
      <c r="M30" s="126" t="s">
        <v>192</v>
      </c>
      <c r="N30" s="126" t="s">
        <v>192</v>
      </c>
      <c r="O30" s="126" t="s">
        <v>192</v>
      </c>
    </row>
    <row r="31" spans="2:15 16384:16384" x14ac:dyDescent="0.35">
      <c r="B31" s="3" t="s">
        <v>241</v>
      </c>
      <c r="C31" s="54"/>
      <c r="D31" s="54">
        <f>16.6</f>
        <v>16.600000000000001</v>
      </c>
      <c r="E31" s="77">
        <v>44651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2:15 16384:16384" x14ac:dyDescent="0.35">
      <c r="B32" s="3" t="s">
        <v>20</v>
      </c>
      <c r="C32" s="54">
        <v>10</v>
      </c>
      <c r="D32" s="54">
        <f>16.6</f>
        <v>16.600000000000001</v>
      </c>
      <c r="E32" s="77">
        <f t="shared" ref="E32:E38" si="3">EOMONTH(E19,3)</f>
        <v>44834</v>
      </c>
      <c r="F32" s="57"/>
      <c r="G32" s="54">
        <v>5</v>
      </c>
      <c r="H32" s="54">
        <v>5</v>
      </c>
      <c r="I32" s="54">
        <v>0</v>
      </c>
      <c r="J32" s="54">
        <v>0</v>
      </c>
      <c r="K32" s="54"/>
      <c r="L32" s="54"/>
      <c r="M32" s="54"/>
      <c r="N32" s="54"/>
      <c r="O32" s="54"/>
    </row>
    <row r="33" spans="2:15" x14ac:dyDescent="0.35">
      <c r="B33" s="3" t="s">
        <v>21</v>
      </c>
      <c r="C33" s="54">
        <v>80</v>
      </c>
      <c r="D33" s="54">
        <f t="shared" ref="D33:D38" si="4">16.6</f>
        <v>16.600000000000001</v>
      </c>
      <c r="E33" s="77">
        <f t="shared" si="3"/>
        <v>45199</v>
      </c>
      <c r="F33" s="57"/>
      <c r="G33" s="54"/>
      <c r="H33" s="54">
        <v>16</v>
      </c>
      <c r="I33" s="54">
        <v>16</v>
      </c>
      <c r="J33" s="54">
        <v>16</v>
      </c>
      <c r="K33" s="54">
        <v>16</v>
      </c>
      <c r="L33" s="54">
        <v>16</v>
      </c>
      <c r="M33" s="54"/>
      <c r="N33" s="54"/>
      <c r="O33" s="54"/>
    </row>
    <row r="34" spans="2:15" x14ac:dyDescent="0.35">
      <c r="B34" s="3" t="s">
        <v>22</v>
      </c>
      <c r="C34" s="54">
        <v>20</v>
      </c>
      <c r="D34" s="54">
        <f t="shared" si="4"/>
        <v>16.600000000000001</v>
      </c>
      <c r="E34" s="77">
        <f t="shared" si="3"/>
        <v>45291</v>
      </c>
      <c r="F34" s="57"/>
      <c r="G34" s="54"/>
      <c r="H34" s="54">
        <v>4</v>
      </c>
      <c r="I34" s="54">
        <v>4</v>
      </c>
      <c r="J34" s="54">
        <v>4</v>
      </c>
      <c r="K34" s="54">
        <v>4</v>
      </c>
      <c r="L34" s="54">
        <v>4</v>
      </c>
      <c r="M34" s="54"/>
      <c r="N34" s="54"/>
      <c r="O34" s="54"/>
    </row>
    <row r="35" spans="2:15" x14ac:dyDescent="0.35">
      <c r="B35" s="3" t="s">
        <v>23</v>
      </c>
      <c r="C35" s="54">
        <v>20</v>
      </c>
      <c r="D35" s="54">
        <f t="shared" si="4"/>
        <v>16.600000000000001</v>
      </c>
      <c r="E35" s="77">
        <f t="shared" si="3"/>
        <v>45107</v>
      </c>
      <c r="F35" s="57"/>
      <c r="G35" s="54"/>
      <c r="H35" s="54">
        <v>4</v>
      </c>
      <c r="I35" s="54">
        <v>4</v>
      </c>
      <c r="J35" s="54">
        <v>4</v>
      </c>
      <c r="K35" s="54">
        <v>4</v>
      </c>
      <c r="L35" s="54">
        <v>4</v>
      </c>
      <c r="M35" s="54"/>
      <c r="N35" s="54"/>
      <c r="O35" s="54"/>
    </row>
    <row r="36" spans="2:15" x14ac:dyDescent="0.35">
      <c r="B36" s="3" t="s">
        <v>24</v>
      </c>
      <c r="C36" s="54">
        <v>7.5</v>
      </c>
      <c r="D36" s="54">
        <f t="shared" si="4"/>
        <v>16.600000000000001</v>
      </c>
      <c r="E36" s="77">
        <f t="shared" si="3"/>
        <v>44742</v>
      </c>
      <c r="F36" s="57"/>
      <c r="G36" s="54">
        <v>2.5</v>
      </c>
      <c r="H36" s="54">
        <v>2.5</v>
      </c>
      <c r="I36" s="54">
        <v>2.5</v>
      </c>
      <c r="J36" s="54">
        <v>0</v>
      </c>
      <c r="K36" s="54"/>
      <c r="L36" s="54"/>
      <c r="M36" s="54"/>
      <c r="N36" s="54"/>
      <c r="O36" s="54"/>
    </row>
    <row r="37" spans="2:15" x14ac:dyDescent="0.35">
      <c r="B37" s="3" t="s">
        <v>25</v>
      </c>
      <c r="C37" s="54">
        <v>10</v>
      </c>
      <c r="D37" s="54">
        <f t="shared" si="4"/>
        <v>16.600000000000001</v>
      </c>
      <c r="E37" s="77">
        <f t="shared" si="3"/>
        <v>44742</v>
      </c>
      <c r="F37" s="57"/>
      <c r="G37" s="54">
        <v>2.5</v>
      </c>
      <c r="H37" s="54">
        <v>2.5</v>
      </c>
      <c r="I37" s="54">
        <v>2.5</v>
      </c>
      <c r="J37" s="54">
        <v>2.5</v>
      </c>
      <c r="K37" s="54"/>
      <c r="L37" s="54"/>
      <c r="M37" s="54"/>
      <c r="N37" s="54"/>
      <c r="O37" s="54"/>
    </row>
    <row r="38" spans="2:15" x14ac:dyDescent="0.35">
      <c r="B38" s="3" t="s">
        <v>26</v>
      </c>
      <c r="C38" s="54">
        <v>2</v>
      </c>
      <c r="D38" s="54">
        <f t="shared" si="4"/>
        <v>16.600000000000001</v>
      </c>
      <c r="E38" s="77">
        <f t="shared" si="3"/>
        <v>45473</v>
      </c>
      <c r="F38" s="57"/>
      <c r="G38" s="54"/>
      <c r="H38" s="54"/>
      <c r="I38" s="54">
        <v>1</v>
      </c>
      <c r="J38" s="54">
        <v>1</v>
      </c>
      <c r="K38" s="54"/>
      <c r="L38" s="54"/>
      <c r="M38" s="54"/>
      <c r="N38" s="54"/>
      <c r="O38" s="54"/>
    </row>
    <row r="39" spans="2:15" x14ac:dyDescent="0.35">
      <c r="B39" s="44"/>
      <c r="C39" s="44">
        <f>SUM(C32:C38)</f>
        <v>149.5</v>
      </c>
      <c r="D39" s="37"/>
      <c r="E39" s="22"/>
      <c r="F39" s="38"/>
      <c r="G39" s="44">
        <f t="shared" ref="G39:O39" si="5">SUM(G32:G38)</f>
        <v>10</v>
      </c>
      <c r="H39" s="44">
        <f t="shared" si="5"/>
        <v>34</v>
      </c>
      <c r="I39" s="44">
        <f t="shared" si="5"/>
        <v>30</v>
      </c>
      <c r="J39" s="44">
        <f t="shared" si="5"/>
        <v>27.5</v>
      </c>
      <c r="K39" s="44">
        <f t="shared" si="5"/>
        <v>24</v>
      </c>
      <c r="L39" s="44">
        <f t="shared" si="5"/>
        <v>24</v>
      </c>
      <c r="M39" s="44">
        <f t="shared" si="5"/>
        <v>0</v>
      </c>
      <c r="N39" s="44">
        <f t="shared" si="5"/>
        <v>0</v>
      </c>
      <c r="O39" s="44">
        <f t="shared" si="5"/>
        <v>0</v>
      </c>
    </row>
    <row r="40" spans="2:15" x14ac:dyDescent="0.35">
      <c r="B40" s="43" t="s">
        <v>261</v>
      </c>
      <c r="C40" s="173">
        <v>0.1</v>
      </c>
      <c r="D40" s="72"/>
    </row>
    <row r="41" spans="2:15" x14ac:dyDescent="0.35">
      <c r="D41" s="1"/>
    </row>
    <row r="42" spans="2:15" ht="21" x14ac:dyDescent="0.5">
      <c r="B42" s="151" t="s">
        <v>276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2:15" x14ac:dyDescent="0.35"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15" x14ac:dyDescent="0.35">
      <c r="B44" s="58" t="s">
        <v>289</v>
      </c>
      <c r="C44" s="71">
        <v>44469</v>
      </c>
      <c r="D44" s="71">
        <v>44651</v>
      </c>
      <c r="E44" s="71">
        <v>45016</v>
      </c>
      <c r="F44" s="71">
        <v>45382</v>
      </c>
      <c r="G44" s="71">
        <v>45747</v>
      </c>
      <c r="H44" s="71">
        <v>46112</v>
      </c>
      <c r="I44" s="71">
        <v>46477</v>
      </c>
      <c r="J44" s="71">
        <v>46843</v>
      </c>
      <c r="K44" s="71">
        <v>47208</v>
      </c>
      <c r="L44" s="71">
        <v>47573</v>
      </c>
      <c r="M44" s="71">
        <v>47938</v>
      </c>
    </row>
    <row r="45" spans="2:15" s="2" customFormat="1" x14ac:dyDescent="0.35">
      <c r="B45" s="82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</row>
    <row r="46" spans="2:15" s="2" customFormat="1" x14ac:dyDescent="0.35">
      <c r="B46" s="82" t="s">
        <v>279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</row>
    <row r="47" spans="2:15" s="2" customFormat="1" x14ac:dyDescent="0.35">
      <c r="B47" s="165" t="s">
        <v>232</v>
      </c>
      <c r="C47" s="210">
        <v>400</v>
      </c>
      <c r="D47" s="210">
        <v>200</v>
      </c>
      <c r="E47" s="210">
        <v>300</v>
      </c>
      <c r="F47" s="210">
        <v>300</v>
      </c>
      <c r="G47" s="210">
        <v>198</v>
      </c>
      <c r="H47" s="210">
        <v>0</v>
      </c>
      <c r="I47" s="210"/>
      <c r="J47" s="210"/>
      <c r="K47" s="210"/>
      <c r="L47" s="210"/>
      <c r="M47" s="210"/>
    </row>
    <row r="48" spans="2:15" s="148" customFormat="1" x14ac:dyDescent="0.35">
      <c r="B48" s="3" t="s">
        <v>288</v>
      </c>
      <c r="C48" s="127">
        <f>C47</f>
        <v>400</v>
      </c>
      <c r="D48" s="127">
        <f>C48+D47</f>
        <v>600</v>
      </c>
      <c r="E48" s="127">
        <f t="shared" ref="E48:M48" si="6">D48+E47</f>
        <v>900</v>
      </c>
      <c r="F48" s="127">
        <f t="shared" si="6"/>
        <v>1200</v>
      </c>
      <c r="G48" s="127">
        <f t="shared" si="6"/>
        <v>1398</v>
      </c>
      <c r="H48" s="127">
        <f t="shared" si="6"/>
        <v>1398</v>
      </c>
      <c r="I48" s="127">
        <f t="shared" si="6"/>
        <v>1398</v>
      </c>
      <c r="J48" s="127">
        <f t="shared" si="6"/>
        <v>1398</v>
      </c>
      <c r="K48" s="127">
        <f t="shared" si="6"/>
        <v>1398</v>
      </c>
      <c r="L48" s="127">
        <f t="shared" si="6"/>
        <v>1398</v>
      </c>
      <c r="M48" s="127">
        <f t="shared" si="6"/>
        <v>1398</v>
      </c>
    </row>
    <row r="49" spans="2:13" s="148" customFormat="1" x14ac:dyDescent="0.35"/>
    <row r="50" spans="2:13" s="148" customFormat="1" x14ac:dyDescent="0.35">
      <c r="B50" s="3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2:13" s="148" customFormat="1" x14ac:dyDescent="0.35">
      <c r="B51" s="43" t="s">
        <v>243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2:13" s="148" customFormat="1" x14ac:dyDescent="0.35">
      <c r="B52" s="32" t="s">
        <v>286</v>
      </c>
      <c r="C52" s="205"/>
      <c r="D52" s="205"/>
      <c r="E52" s="206">
        <f t="shared" ref="E52:K52" si="7">G39*100</f>
        <v>1000</v>
      </c>
      <c r="F52" s="206">
        <f t="shared" si="7"/>
        <v>3400</v>
      </c>
      <c r="G52" s="206">
        <f t="shared" si="7"/>
        <v>3000</v>
      </c>
      <c r="H52" s="206">
        <f t="shared" si="7"/>
        <v>2750</v>
      </c>
      <c r="I52" s="206">
        <f t="shared" si="7"/>
        <v>2400</v>
      </c>
      <c r="J52" s="206">
        <f t="shared" si="7"/>
        <v>2400</v>
      </c>
      <c r="K52" s="206">
        <f t="shared" si="7"/>
        <v>0</v>
      </c>
      <c r="L52" s="206">
        <f t="shared" ref="L52:M52" si="8">N39*100</f>
        <v>0</v>
      </c>
      <c r="M52" s="206">
        <f t="shared" si="8"/>
        <v>0</v>
      </c>
    </row>
    <row r="53" spans="2:13" s="2" customFormat="1" x14ac:dyDescent="0.35">
      <c r="B53" s="32" t="s">
        <v>285</v>
      </c>
      <c r="C53" s="205"/>
      <c r="D53" s="205"/>
      <c r="E53" s="40">
        <f>E52</f>
        <v>1000</v>
      </c>
      <c r="F53" s="207">
        <f>F52+E53</f>
        <v>4400</v>
      </c>
      <c r="G53" s="207">
        <f t="shared" ref="G53:M53" si="9">G52+F53</f>
        <v>7400</v>
      </c>
      <c r="H53" s="207">
        <f t="shared" si="9"/>
        <v>10150</v>
      </c>
      <c r="I53" s="207">
        <f t="shared" si="9"/>
        <v>12550</v>
      </c>
      <c r="J53" s="207">
        <f t="shared" si="9"/>
        <v>14950</v>
      </c>
      <c r="K53" s="207">
        <f t="shared" si="9"/>
        <v>14950</v>
      </c>
      <c r="L53" s="207">
        <f t="shared" si="9"/>
        <v>14950</v>
      </c>
      <c r="M53" s="207">
        <f t="shared" si="9"/>
        <v>14950</v>
      </c>
    </row>
    <row r="54" spans="2:13" s="2" customFormat="1" x14ac:dyDescent="0.35">
      <c r="B54" s="32"/>
      <c r="C54" s="205"/>
      <c r="D54" s="205"/>
      <c r="E54" s="40"/>
      <c r="F54" s="207"/>
      <c r="G54" s="207"/>
      <c r="H54" s="207"/>
      <c r="I54" s="207"/>
      <c r="J54" s="207"/>
      <c r="K54" s="207"/>
      <c r="L54" s="207"/>
      <c r="M54" s="207"/>
    </row>
    <row r="55" spans="2:13" s="66" customFormat="1" x14ac:dyDescent="0.35">
      <c r="B55" s="60" t="s">
        <v>287</v>
      </c>
      <c r="C55" s="208">
        <f>C48</f>
        <v>400</v>
      </c>
      <c r="D55" s="208">
        <f>D48</f>
        <v>600</v>
      </c>
      <c r="E55" s="209">
        <f>E48+E53</f>
        <v>1900</v>
      </c>
      <c r="F55" s="209">
        <f t="shared" ref="F55:M55" si="10">F48+F53</f>
        <v>5600</v>
      </c>
      <c r="G55" s="209">
        <f t="shared" si="10"/>
        <v>8798</v>
      </c>
      <c r="H55" s="209">
        <f t="shared" si="10"/>
        <v>11548</v>
      </c>
      <c r="I55" s="209">
        <f t="shared" si="10"/>
        <v>13948</v>
      </c>
      <c r="J55" s="209">
        <f t="shared" si="10"/>
        <v>16348</v>
      </c>
      <c r="K55" s="209">
        <f t="shared" si="10"/>
        <v>16348</v>
      </c>
      <c r="L55" s="209">
        <f t="shared" si="10"/>
        <v>16348</v>
      </c>
      <c r="M55" s="209">
        <f t="shared" si="10"/>
        <v>16348</v>
      </c>
    </row>
    <row r="56" spans="2:13" s="2" customFormat="1" x14ac:dyDescent="0.35">
      <c r="B56" s="32"/>
      <c r="C56" s="205"/>
      <c r="D56" s="205"/>
      <c r="E56" s="40"/>
      <c r="F56" s="207"/>
      <c r="G56" s="207"/>
      <c r="H56" s="207"/>
      <c r="I56" s="207"/>
      <c r="J56" s="207"/>
      <c r="K56" s="207"/>
      <c r="L56" s="207"/>
      <c r="M56" s="207"/>
    </row>
    <row r="57" spans="2:13" s="2" customFormat="1" x14ac:dyDescent="0.35">
      <c r="B57" s="58" t="s">
        <v>290</v>
      </c>
      <c r="C57" s="71">
        <v>44469</v>
      </c>
      <c r="D57" s="71">
        <v>44651</v>
      </c>
      <c r="E57" s="71">
        <v>45016</v>
      </c>
      <c r="F57" s="71">
        <v>45382</v>
      </c>
      <c r="G57" s="71">
        <v>45747</v>
      </c>
      <c r="H57" s="71">
        <v>46112</v>
      </c>
      <c r="I57" s="71">
        <v>46477</v>
      </c>
      <c r="J57" s="71">
        <v>46843</v>
      </c>
      <c r="K57" s="71">
        <v>47208</v>
      </c>
      <c r="L57" s="71">
        <v>47573</v>
      </c>
      <c r="M57" s="71">
        <v>47938</v>
      </c>
    </row>
    <row r="58" spans="2:13" s="2" customFormat="1" x14ac:dyDescent="0.35">
      <c r="B58" s="32"/>
      <c r="C58" s="205"/>
      <c r="D58" s="205"/>
      <c r="E58" s="40"/>
      <c r="F58" s="207"/>
      <c r="G58" s="207"/>
      <c r="H58" s="207"/>
      <c r="I58" s="207"/>
      <c r="J58" s="207"/>
      <c r="K58" s="207"/>
      <c r="L58" s="207"/>
      <c r="M58" s="207"/>
    </row>
    <row r="59" spans="2:13" s="2" customFormat="1" x14ac:dyDescent="0.35">
      <c r="B59" s="82" t="s">
        <v>279</v>
      </c>
      <c r="C59" s="205"/>
      <c r="D59" s="205"/>
      <c r="E59" s="40"/>
      <c r="F59" s="207"/>
      <c r="G59" s="207"/>
      <c r="H59" s="207"/>
      <c r="I59" s="207"/>
      <c r="J59" s="207"/>
      <c r="K59" s="207"/>
      <c r="L59" s="207"/>
      <c r="M59" s="207"/>
    </row>
    <row r="60" spans="2:13" s="2" customFormat="1" x14ac:dyDescent="0.35">
      <c r="B60" s="3" t="s">
        <v>233</v>
      </c>
      <c r="C60" s="57">
        <v>285</v>
      </c>
      <c r="D60" s="57">
        <v>360</v>
      </c>
      <c r="E60" s="57">
        <v>600</v>
      </c>
      <c r="F60" s="57">
        <f>E60+240</f>
        <v>840</v>
      </c>
      <c r="G60" s="57">
        <f>F60+300</f>
        <v>1140</v>
      </c>
      <c r="H60" s="57">
        <f t="shared" ref="H60:M60" si="11">H48</f>
        <v>1398</v>
      </c>
      <c r="I60" s="57">
        <f t="shared" si="11"/>
        <v>1398</v>
      </c>
      <c r="J60" s="57">
        <f t="shared" si="11"/>
        <v>1398</v>
      </c>
      <c r="K60" s="57">
        <f t="shared" si="11"/>
        <v>1398</v>
      </c>
      <c r="L60" s="57">
        <f t="shared" si="11"/>
        <v>1398</v>
      </c>
      <c r="M60" s="57">
        <f t="shared" si="11"/>
        <v>1398</v>
      </c>
    </row>
    <row r="61" spans="2:13" s="2" customFormat="1" x14ac:dyDescent="0.35">
      <c r="B61" s="32"/>
      <c r="C61" s="205"/>
      <c r="D61" s="205"/>
      <c r="E61" s="40"/>
      <c r="F61" s="207"/>
      <c r="G61" s="207"/>
      <c r="H61" s="207"/>
      <c r="I61" s="207"/>
      <c r="J61" s="207"/>
      <c r="K61" s="207"/>
      <c r="L61" s="207"/>
      <c r="M61" s="207"/>
    </row>
    <row r="62" spans="2:13" s="2" customFormat="1" x14ac:dyDescent="0.35">
      <c r="B62" s="82" t="s">
        <v>243</v>
      </c>
      <c r="C62" s="205"/>
      <c r="D62" s="205"/>
      <c r="E62" s="40"/>
      <c r="F62" s="207"/>
      <c r="G62" s="207"/>
      <c r="H62" s="207"/>
      <c r="I62" s="207"/>
      <c r="J62" s="207"/>
      <c r="K62" s="207"/>
      <c r="L62" s="207"/>
      <c r="M62" s="207"/>
    </row>
    <row r="63" spans="2:13" s="2" customFormat="1" x14ac:dyDescent="0.35">
      <c r="B63" s="3" t="s">
        <v>291</v>
      </c>
      <c r="C63" s="211">
        <v>0</v>
      </c>
      <c r="D63" s="211">
        <v>0</v>
      </c>
      <c r="E63" s="211">
        <v>416.66666666666663</v>
      </c>
      <c r="F63" s="211">
        <v>1683.333333333333</v>
      </c>
      <c r="G63" s="211">
        <v>3833.333333333333</v>
      </c>
      <c r="H63" s="211">
        <v>6708.333333333333</v>
      </c>
      <c r="I63" s="211">
        <v>9283.3333333333321</v>
      </c>
      <c r="J63" s="211">
        <v>11683.333333333334</v>
      </c>
      <c r="K63" s="211">
        <v>13816.666666666666</v>
      </c>
      <c r="L63" s="211">
        <v>14950</v>
      </c>
      <c r="M63" s="211">
        <v>14950</v>
      </c>
    </row>
    <row r="64" spans="2:13" s="2" customFormat="1" x14ac:dyDescent="0.35">
      <c r="B64" s="82"/>
      <c r="C64" s="205"/>
      <c r="D64" s="205"/>
      <c r="E64" s="40"/>
      <c r="F64" s="207"/>
      <c r="G64" s="207"/>
      <c r="H64" s="207"/>
      <c r="I64" s="207"/>
      <c r="J64" s="207"/>
      <c r="K64" s="207"/>
      <c r="L64" s="207"/>
      <c r="M64" s="207"/>
    </row>
    <row r="65" spans="2:16" s="66" customFormat="1" x14ac:dyDescent="0.35">
      <c r="B65" s="44" t="s">
        <v>242</v>
      </c>
      <c r="C65" s="38">
        <f>SUM(C60:C64)</f>
        <v>285</v>
      </c>
      <c r="D65" s="38">
        <f t="shared" ref="D65:M65" si="12">SUM(D60:D64)</f>
        <v>360</v>
      </c>
      <c r="E65" s="38">
        <f t="shared" si="12"/>
        <v>1016.6666666666666</v>
      </c>
      <c r="F65" s="38">
        <f t="shared" si="12"/>
        <v>2523.333333333333</v>
      </c>
      <c r="G65" s="38">
        <f t="shared" si="12"/>
        <v>4973.333333333333</v>
      </c>
      <c r="H65" s="38">
        <f t="shared" si="12"/>
        <v>8106.333333333333</v>
      </c>
      <c r="I65" s="38">
        <f t="shared" si="12"/>
        <v>10681.333333333332</v>
      </c>
      <c r="J65" s="38">
        <f t="shared" si="12"/>
        <v>13081.333333333334</v>
      </c>
      <c r="K65" s="38">
        <f t="shared" si="12"/>
        <v>15214.666666666666</v>
      </c>
      <c r="L65" s="38">
        <f t="shared" si="12"/>
        <v>16348</v>
      </c>
      <c r="M65" s="38">
        <f t="shared" si="12"/>
        <v>16348</v>
      </c>
    </row>
    <row r="66" spans="2:16" s="2" customFormat="1" x14ac:dyDescent="0.35">
      <c r="B66" s="32"/>
      <c r="C66" s="205"/>
      <c r="D66" s="205"/>
      <c r="E66" s="40"/>
      <c r="F66" s="207"/>
      <c r="G66" s="207"/>
      <c r="H66" s="207"/>
      <c r="I66" s="207"/>
      <c r="J66" s="207"/>
      <c r="K66" s="207"/>
      <c r="L66" s="207"/>
      <c r="M66" s="207"/>
    </row>
    <row r="67" spans="2:16" s="2" customFormat="1" x14ac:dyDescent="0.35">
      <c r="B67" s="3" t="s">
        <v>265</v>
      </c>
      <c r="C67" s="138"/>
      <c r="D67" s="57">
        <v>1991725</v>
      </c>
      <c r="E67" s="57">
        <v>1468266.6101694917</v>
      </c>
      <c r="F67" s="57">
        <v>1060631.2584745763</v>
      </c>
      <c r="G67" s="57">
        <v>926578.02741704613</v>
      </c>
      <c r="H67" s="57">
        <v>861886.02460009954</v>
      </c>
      <c r="I67" s="57">
        <v>805462.13482242788</v>
      </c>
      <c r="J67" s="57">
        <v>788194.17943236569</v>
      </c>
      <c r="K67" s="57">
        <v>784702.65529666166</v>
      </c>
      <c r="L67" s="57">
        <v>791421.32070145023</v>
      </c>
      <c r="M67" s="57">
        <v>807237.13406380336</v>
      </c>
    </row>
    <row r="68" spans="2:16" s="2" customFormat="1" x14ac:dyDescent="0.35">
      <c r="B68" s="63" t="s">
        <v>146</v>
      </c>
      <c r="C68" s="138"/>
      <c r="D68" s="23">
        <v>0.22271837226524746</v>
      </c>
      <c r="E68" s="23">
        <v>0.21118161076947831</v>
      </c>
      <c r="F68" s="23">
        <v>0.18078422057491136</v>
      </c>
      <c r="G68" s="23">
        <v>0.16385835910694849</v>
      </c>
      <c r="H68" s="23">
        <v>0.15357424855515475</v>
      </c>
      <c r="I68" s="23">
        <v>0.14267832599428801</v>
      </c>
      <c r="J68" s="23">
        <v>0.13699693289621909</v>
      </c>
      <c r="K68" s="23">
        <v>0.13329499675915407</v>
      </c>
      <c r="L68" s="23">
        <v>0.13119467603638016</v>
      </c>
      <c r="M68" s="23">
        <v>0.13055089192992328</v>
      </c>
    </row>
    <row r="69" spans="2:16" x14ac:dyDescent="0.35">
      <c r="C69" s="138"/>
      <c r="D69" s="72"/>
      <c r="E69" s="72"/>
      <c r="F69" s="72"/>
      <c r="G69" s="72"/>
      <c r="H69" s="72"/>
      <c r="I69" s="72"/>
      <c r="J69" s="72"/>
      <c r="K69" s="72"/>
      <c r="L69" s="72"/>
      <c r="M69" s="72"/>
    </row>
    <row r="70" spans="2:16" x14ac:dyDescent="0.35">
      <c r="B70" s="43" t="s">
        <v>13</v>
      </c>
    </row>
    <row r="71" spans="2:16" s="1" customFormat="1" x14ac:dyDescent="0.35">
      <c r="B71" s="3" t="s">
        <v>38</v>
      </c>
      <c r="C71"/>
      <c r="D71" s="8">
        <f>483.75*2</f>
        <v>967.5</v>
      </c>
      <c r="E71" s="8">
        <v>2252.5</v>
      </c>
      <c r="F71" s="8">
        <v>8160</v>
      </c>
      <c r="G71" s="8">
        <v>19482.5</v>
      </c>
      <c r="H71" s="8">
        <v>35432</v>
      </c>
      <c r="I71" s="8">
        <v>52169</v>
      </c>
      <c r="J71" s="8">
        <v>67094</v>
      </c>
      <c r="K71" s="8">
        <v>80694</v>
      </c>
      <c r="L71" s="8">
        <v>90494</v>
      </c>
      <c r="M71" s="8">
        <v>93894</v>
      </c>
    </row>
    <row r="72" spans="2:16" s="1" customFormat="1" x14ac:dyDescent="0.35">
      <c r="B72" s="3" t="s">
        <v>19</v>
      </c>
      <c r="C72"/>
      <c r="D72" s="88">
        <v>0.6</v>
      </c>
      <c r="E72" s="88">
        <v>0.6</v>
      </c>
      <c r="F72" s="88">
        <v>0.6</v>
      </c>
      <c r="G72" s="88">
        <v>0.6</v>
      </c>
      <c r="H72" s="88">
        <v>0.6</v>
      </c>
      <c r="I72" s="88">
        <v>0.6</v>
      </c>
      <c r="J72" s="88">
        <v>0.6</v>
      </c>
      <c r="K72" s="88">
        <v>0.6</v>
      </c>
      <c r="L72" s="88">
        <v>0.6</v>
      </c>
      <c r="M72" s="88">
        <v>0.6</v>
      </c>
    </row>
    <row r="73" spans="2:16" x14ac:dyDescent="0.35">
      <c r="B73" s="3" t="s">
        <v>14</v>
      </c>
      <c r="C73" s="1"/>
      <c r="D73" s="3">
        <v>2</v>
      </c>
      <c r="E73" s="3">
        <v>2</v>
      </c>
      <c r="F73" s="3">
        <v>1.75</v>
      </c>
      <c r="G73" s="3">
        <v>1.7</v>
      </c>
      <c r="H73" s="3">
        <v>1.7</v>
      </c>
      <c r="I73" s="3">
        <v>1.7</v>
      </c>
      <c r="J73" s="3">
        <v>1.7</v>
      </c>
      <c r="K73" s="3">
        <v>1.7</v>
      </c>
      <c r="L73" s="3">
        <v>1.7</v>
      </c>
      <c r="M73" s="3">
        <v>1.7</v>
      </c>
    </row>
    <row r="74" spans="2:16" x14ac:dyDescent="0.35">
      <c r="B74" s="3" t="s">
        <v>275</v>
      </c>
      <c r="C74" s="138"/>
      <c r="D74" s="72">
        <v>9.2688827614379079</v>
      </c>
      <c r="E74" s="72">
        <v>9.4955602108768051</v>
      </c>
      <c r="F74" s="72">
        <v>9.9129883874309392</v>
      </c>
      <c r="G74" s="72">
        <v>10.176347157880885</v>
      </c>
      <c r="H74" s="72">
        <v>10.345958948868391</v>
      </c>
      <c r="I74" s="72">
        <v>10.514958806211922</v>
      </c>
      <c r="J74" s="72">
        <v>10.694706762876526</v>
      </c>
      <c r="K74" s="72">
        <v>10.867699551125032</v>
      </c>
      <c r="L74" s="72">
        <v>11.045166766419777</v>
      </c>
      <c r="M74" s="72">
        <v>11.25045494194457</v>
      </c>
    </row>
    <row r="75" spans="2:16" x14ac:dyDescent="0.35"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6" x14ac:dyDescent="0.35">
      <c r="B76" s="43" t="s">
        <v>39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6" x14ac:dyDescent="0.35">
      <c r="B77" s="3" t="s">
        <v>292</v>
      </c>
      <c r="D77" s="127">
        <v>0</v>
      </c>
      <c r="E77" s="127">
        <v>812.5</v>
      </c>
      <c r="F77" s="127">
        <v>6000</v>
      </c>
      <c r="G77" s="127">
        <v>16512.5</v>
      </c>
      <c r="H77" s="127">
        <v>31625</v>
      </c>
      <c r="I77" s="127">
        <v>47975</v>
      </c>
      <c r="J77" s="127">
        <v>62900</v>
      </c>
      <c r="K77" s="127">
        <v>76500</v>
      </c>
      <c r="L77" s="127">
        <v>86300</v>
      </c>
      <c r="M77" s="127">
        <v>89700</v>
      </c>
    </row>
    <row r="78" spans="2:16" x14ac:dyDescent="0.35">
      <c r="B78" s="3" t="s">
        <v>19</v>
      </c>
      <c r="D78" s="88">
        <v>0.6</v>
      </c>
      <c r="E78" s="88">
        <v>0.6</v>
      </c>
      <c r="F78" s="88">
        <v>0.6</v>
      </c>
      <c r="G78" s="88">
        <v>0.6</v>
      </c>
      <c r="H78" s="88">
        <v>0.6</v>
      </c>
      <c r="I78" s="88">
        <v>0.6</v>
      </c>
      <c r="J78" s="88">
        <v>0.6</v>
      </c>
      <c r="K78" s="88">
        <v>0.6</v>
      </c>
      <c r="L78" s="88">
        <v>0.6</v>
      </c>
      <c r="M78" s="88">
        <v>0.6</v>
      </c>
    </row>
    <row r="79" spans="2:16" x14ac:dyDescent="0.35">
      <c r="B79" s="3" t="s">
        <v>14</v>
      </c>
      <c r="D79" s="3">
        <v>1.8</v>
      </c>
      <c r="E79" s="3">
        <v>1.8</v>
      </c>
      <c r="F79" s="3">
        <v>1.8</v>
      </c>
      <c r="G79" s="3">
        <v>1.7</v>
      </c>
      <c r="H79" s="3">
        <v>1.7</v>
      </c>
      <c r="I79" s="3">
        <v>1.7</v>
      </c>
      <c r="J79" s="3">
        <v>1.7</v>
      </c>
      <c r="K79" s="3">
        <v>1.7</v>
      </c>
      <c r="L79" s="3">
        <v>1.7</v>
      </c>
      <c r="M79" s="3">
        <v>1.7</v>
      </c>
      <c r="O79" s="159"/>
      <c r="P79" s="159"/>
    </row>
    <row r="80" spans="2:16" x14ac:dyDescent="0.35">
      <c r="B80" s="3" t="s">
        <v>275</v>
      </c>
      <c r="C80" s="138"/>
      <c r="D80" s="72">
        <v>9.2688827614379079</v>
      </c>
      <c r="E80" s="72">
        <v>9.4955602108768051</v>
      </c>
      <c r="F80" s="72">
        <v>9.9129883874309392</v>
      </c>
      <c r="G80" s="72">
        <v>10.176347157880885</v>
      </c>
      <c r="H80" s="72">
        <v>10.345958948868391</v>
      </c>
      <c r="I80" s="72">
        <v>10.514958806211922</v>
      </c>
      <c r="J80" s="72">
        <v>10.694706762876526</v>
      </c>
      <c r="K80" s="72">
        <v>10.867699551125032</v>
      </c>
      <c r="L80" s="72">
        <v>11.045166766419777</v>
      </c>
      <c r="M80" s="72">
        <v>11.25045494194457</v>
      </c>
    </row>
    <row r="81" spans="2:16" x14ac:dyDescent="0.35">
      <c r="C81" s="138"/>
      <c r="D81" s="72"/>
      <c r="E81" s="72"/>
      <c r="F81" s="72"/>
      <c r="G81" s="72"/>
      <c r="H81" s="72"/>
      <c r="I81" s="72"/>
      <c r="J81" s="72"/>
      <c r="K81" s="72"/>
      <c r="L81" s="72"/>
      <c r="M81" s="72"/>
    </row>
    <row r="82" spans="2:16" x14ac:dyDescent="0.35"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6" ht="21" x14ac:dyDescent="0.5">
      <c r="B83" s="158" t="s">
        <v>4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</row>
    <row r="84" spans="2:16" x14ac:dyDescent="0.35">
      <c r="B84" s="59" t="s">
        <v>103</v>
      </c>
      <c r="C84" s="71">
        <v>44469</v>
      </c>
      <c r="D84" s="71">
        <v>44651</v>
      </c>
      <c r="E84" s="71">
        <v>45016</v>
      </c>
      <c r="F84" s="71">
        <v>45382</v>
      </c>
      <c r="G84" s="71">
        <v>45747</v>
      </c>
      <c r="H84" s="71">
        <v>46112</v>
      </c>
      <c r="I84" s="71">
        <v>46477</v>
      </c>
      <c r="J84" s="71">
        <v>46843</v>
      </c>
      <c r="K84" s="71">
        <v>47208</v>
      </c>
      <c r="L84" s="71">
        <v>47573</v>
      </c>
      <c r="M84" s="71">
        <v>47938</v>
      </c>
    </row>
    <row r="85" spans="2:16" x14ac:dyDescent="0.35">
      <c r="B85" s="3" t="s">
        <v>282</v>
      </c>
      <c r="C85">
        <v>156</v>
      </c>
      <c r="D85" s="7">
        <v>180</v>
      </c>
      <c r="E85" s="7">
        <v>384</v>
      </c>
      <c r="F85" s="7">
        <v>582</v>
      </c>
      <c r="G85" s="7">
        <v>695</v>
      </c>
      <c r="H85" s="7">
        <v>738</v>
      </c>
      <c r="I85" s="7">
        <v>738</v>
      </c>
      <c r="J85" s="7">
        <v>738</v>
      </c>
      <c r="K85" s="7">
        <v>738</v>
      </c>
      <c r="L85" s="7">
        <v>738</v>
      </c>
      <c r="M85" s="7">
        <v>738</v>
      </c>
    </row>
    <row r="86" spans="2:16" x14ac:dyDescent="0.35">
      <c r="B86" s="3" t="s">
        <v>271</v>
      </c>
      <c r="D86" s="7">
        <v>851111.11111111112</v>
      </c>
      <c r="E86" s="7">
        <v>866193.75</v>
      </c>
      <c r="F86" s="7">
        <v>786297.89690721652</v>
      </c>
      <c r="G86" s="7">
        <v>797008.00092086324</v>
      </c>
      <c r="H86" s="7">
        <v>837198.45026341488</v>
      </c>
      <c r="I86" s="7">
        <v>904174.32628448785</v>
      </c>
      <c r="J86" s="7">
        <v>976508.2723872473</v>
      </c>
      <c r="K86" s="7">
        <v>1054628.9341782271</v>
      </c>
      <c r="L86" s="7">
        <v>1138999.2489124851</v>
      </c>
      <c r="M86" s="7">
        <v>1230119.1888254841</v>
      </c>
    </row>
    <row r="87" spans="2:16" x14ac:dyDescent="0.35">
      <c r="B87" s="36" t="s">
        <v>272</v>
      </c>
      <c r="C87" s="22"/>
      <c r="D87" s="35">
        <f>D85*D86*6/12/10^7</f>
        <v>7.66</v>
      </c>
      <c r="E87" s="35">
        <f t="shared" ref="E87:M87" si="13">E85*E86/10^7</f>
        <v>33.261839999999999</v>
      </c>
      <c r="F87" s="35">
        <f t="shared" si="13"/>
        <v>45.762537600000002</v>
      </c>
      <c r="G87" s="35">
        <f t="shared" si="13"/>
        <v>55.392056064000002</v>
      </c>
      <c r="H87" s="35">
        <f t="shared" si="13"/>
        <v>61.78524562944002</v>
      </c>
      <c r="I87" s="35">
        <f t="shared" si="13"/>
        <v>66.728065279795203</v>
      </c>
      <c r="J87" s="35">
        <f t="shared" si="13"/>
        <v>72.066310502178851</v>
      </c>
      <c r="K87" s="35">
        <f t="shared" si="13"/>
        <v>77.83161534235316</v>
      </c>
      <c r="L87" s="35">
        <f t="shared" si="13"/>
        <v>84.058144569741401</v>
      </c>
      <c r="M87" s="35">
        <f t="shared" si="13"/>
        <v>90.782796135320723</v>
      </c>
    </row>
    <row r="89" spans="2:16" x14ac:dyDescent="0.35">
      <c r="B89" s="160" t="s">
        <v>236</v>
      </c>
      <c r="C89" s="66"/>
      <c r="D89" s="64">
        <v>0.05</v>
      </c>
      <c r="E89" s="64">
        <f>D89*80%</f>
        <v>4.0000000000000008E-2</v>
      </c>
      <c r="F89" s="64">
        <f t="shared" ref="F89:G89" si="14">E89*80%</f>
        <v>3.2000000000000008E-2</v>
      </c>
      <c r="G89" s="64">
        <f t="shared" si="14"/>
        <v>2.5600000000000008E-2</v>
      </c>
      <c r="H89" s="64">
        <f>G89*80%</f>
        <v>2.0480000000000009E-2</v>
      </c>
      <c r="I89" s="64">
        <f>H89*90%</f>
        <v>1.8432000000000007E-2</v>
      </c>
      <c r="J89" s="64">
        <f>I89*90%</f>
        <v>1.6588800000000008E-2</v>
      </c>
      <c r="K89" s="64">
        <f>J89*90%</f>
        <v>1.4929920000000008E-2</v>
      </c>
      <c r="L89" s="64">
        <f>K89*90%</f>
        <v>1.3436928000000008E-2</v>
      </c>
      <c r="M89" s="64">
        <f>L89*95%</f>
        <v>1.2765081600000007E-2</v>
      </c>
    </row>
    <row r="90" spans="2:16" x14ac:dyDescent="0.35">
      <c r="B90" s="160"/>
      <c r="C90" s="66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6" s="2" customFormat="1" x14ac:dyDescent="0.35">
      <c r="B91" s="43" t="s">
        <v>43</v>
      </c>
      <c r="C91"/>
      <c r="D91" s="20"/>
      <c r="E91" s="20"/>
      <c r="F91" s="20"/>
      <c r="G91" s="20"/>
      <c r="H91" s="20"/>
      <c r="I91" s="20"/>
      <c r="J91" s="20"/>
      <c r="K91" s="20"/>
      <c r="L91" s="20"/>
      <c r="M91" s="20"/>
      <c r="O91"/>
      <c r="P91"/>
    </row>
    <row r="92" spans="2:16" x14ac:dyDescent="0.35">
      <c r="B92" s="3" t="s">
        <v>238</v>
      </c>
      <c r="D92" s="7">
        <v>600000</v>
      </c>
      <c r="E92" s="7">
        <f t="shared" ref="E92:M92" si="15">$D$92*E93</f>
        <v>630000</v>
      </c>
      <c r="F92" s="7">
        <f t="shared" si="15"/>
        <v>661500</v>
      </c>
      <c r="G92" s="7">
        <f t="shared" si="15"/>
        <v>694575.00000000012</v>
      </c>
      <c r="H92" s="7">
        <f t="shared" si="15"/>
        <v>729303.75000000012</v>
      </c>
      <c r="I92" s="7">
        <f t="shared" si="15"/>
        <v>765768.93750000023</v>
      </c>
      <c r="J92" s="7">
        <f t="shared" si="15"/>
        <v>804057.38437500026</v>
      </c>
      <c r="K92" s="7">
        <f t="shared" si="15"/>
        <v>844260.2535937503</v>
      </c>
      <c r="L92" s="7">
        <f t="shared" si="15"/>
        <v>886473.26627343777</v>
      </c>
      <c r="M92" s="7">
        <f t="shared" si="15"/>
        <v>930796.92958710971</v>
      </c>
    </row>
    <row r="93" spans="2:16" x14ac:dyDescent="0.35">
      <c r="B93" s="3" t="s">
        <v>230</v>
      </c>
      <c r="D93" s="23">
        <v>1</v>
      </c>
      <c r="E93" s="23">
        <f t="shared" ref="E93:M93" si="16">E103</f>
        <v>1.05</v>
      </c>
      <c r="F93" s="23">
        <f t="shared" si="16"/>
        <v>1.1025</v>
      </c>
      <c r="G93" s="23">
        <f t="shared" si="16"/>
        <v>1.1576250000000001</v>
      </c>
      <c r="H93" s="23">
        <f t="shared" si="16"/>
        <v>1.2155062500000002</v>
      </c>
      <c r="I93" s="23">
        <f t="shared" si="16"/>
        <v>1.2762815625000004</v>
      </c>
      <c r="J93" s="23">
        <f t="shared" si="16"/>
        <v>1.3400956406250004</v>
      </c>
      <c r="K93" s="23">
        <f t="shared" si="16"/>
        <v>1.4071004226562505</v>
      </c>
      <c r="L93" s="23">
        <f t="shared" si="16"/>
        <v>1.477455443789063</v>
      </c>
      <c r="M93" s="23">
        <f t="shared" si="16"/>
        <v>1.5513282159785162</v>
      </c>
    </row>
    <row r="94" spans="2:16" x14ac:dyDescent="0.35"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2:16" x14ac:dyDescent="0.35">
      <c r="B95" s="3" t="s">
        <v>239</v>
      </c>
      <c r="D95" s="72">
        <v>3</v>
      </c>
      <c r="E95" s="72">
        <v>8</v>
      </c>
      <c r="F95" s="72">
        <v>10</v>
      </c>
      <c r="G95" s="72">
        <v>5</v>
      </c>
      <c r="H95" s="72">
        <v>1.5</v>
      </c>
      <c r="I95" s="72">
        <v>1.5</v>
      </c>
      <c r="J95" s="72">
        <v>1.5</v>
      </c>
      <c r="K95" s="72">
        <v>1.5</v>
      </c>
      <c r="L95" s="72">
        <v>1.5</v>
      </c>
      <c r="M95" s="72">
        <v>1.5</v>
      </c>
    </row>
    <row r="96" spans="2:16" x14ac:dyDescent="0.35">
      <c r="O96" s="2"/>
      <c r="P96" s="2"/>
    </row>
    <row r="97" spans="2:19" x14ac:dyDescent="0.35">
      <c r="B97" s="59" t="s">
        <v>67</v>
      </c>
      <c r="C97" s="27" t="s">
        <v>41</v>
      </c>
      <c r="D97" s="71">
        <v>44651</v>
      </c>
      <c r="E97" s="71">
        <v>45016</v>
      </c>
      <c r="F97" s="71">
        <v>45382</v>
      </c>
      <c r="G97" s="71">
        <v>45747</v>
      </c>
      <c r="H97" s="71">
        <v>46112</v>
      </c>
      <c r="I97" s="71">
        <v>46477</v>
      </c>
      <c r="J97" s="71">
        <v>46843</v>
      </c>
      <c r="K97" s="71">
        <v>47208</v>
      </c>
      <c r="L97" s="71">
        <v>47573</v>
      </c>
      <c r="M97" s="71">
        <v>47938</v>
      </c>
    </row>
    <row r="98" spans="2:19" x14ac:dyDescent="0.35">
      <c r="B98" s="65" t="s">
        <v>40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2:19" x14ac:dyDescent="0.35">
      <c r="B99" s="3" t="s">
        <v>1</v>
      </c>
      <c r="C99" s="21">
        <v>2.5000000000000001E-2</v>
      </c>
      <c r="D99" s="23">
        <f>100%</f>
        <v>1</v>
      </c>
      <c r="E99" s="23">
        <f t="shared" ref="E99:M99" si="17">D99*(1+$C99)</f>
        <v>1.0249999999999999</v>
      </c>
      <c r="F99" s="23">
        <f t="shared" si="17"/>
        <v>1.0506249999999999</v>
      </c>
      <c r="G99" s="23">
        <f t="shared" si="17"/>
        <v>1.0768906249999999</v>
      </c>
      <c r="H99" s="23">
        <f t="shared" si="17"/>
        <v>1.1038128906249998</v>
      </c>
      <c r="I99" s="23">
        <f t="shared" si="17"/>
        <v>1.1314082128906247</v>
      </c>
      <c r="J99" s="23">
        <f t="shared" si="17"/>
        <v>1.1596934182128902</v>
      </c>
      <c r="K99" s="23">
        <f t="shared" si="17"/>
        <v>1.1886857536682123</v>
      </c>
      <c r="L99" s="23">
        <f t="shared" si="17"/>
        <v>1.2184028975099175</v>
      </c>
      <c r="M99" s="23">
        <f t="shared" si="17"/>
        <v>1.2488629699476652</v>
      </c>
    </row>
    <row r="100" spans="2:19" s="148" customFormat="1" x14ac:dyDescent="0.35">
      <c r="B100" s="3" t="s">
        <v>3</v>
      </c>
      <c r="C100" s="21">
        <v>0.02</v>
      </c>
      <c r="D100" s="23">
        <f>100%</f>
        <v>1</v>
      </c>
      <c r="E100" s="23">
        <f t="shared" ref="E100:M100" si="18">D100*(1+$C100)</f>
        <v>1.02</v>
      </c>
      <c r="F100" s="23">
        <f t="shared" si="18"/>
        <v>1.0404</v>
      </c>
      <c r="G100" s="23">
        <f t="shared" si="18"/>
        <v>1.0612079999999999</v>
      </c>
      <c r="H100" s="23">
        <f t="shared" si="18"/>
        <v>1.08243216</v>
      </c>
      <c r="I100" s="23">
        <f t="shared" si="18"/>
        <v>1.1040808032</v>
      </c>
      <c r="J100" s="23">
        <f t="shared" si="18"/>
        <v>1.1261624192640001</v>
      </c>
      <c r="K100" s="23">
        <f t="shared" si="18"/>
        <v>1.14868566764928</v>
      </c>
      <c r="L100" s="23">
        <f t="shared" si="18"/>
        <v>1.1716593810022657</v>
      </c>
      <c r="M100" s="23">
        <f t="shared" si="18"/>
        <v>1.1950925686223111</v>
      </c>
      <c r="O100"/>
      <c r="P100"/>
    </row>
    <row r="101" spans="2:19" s="148" customFormat="1" x14ac:dyDescent="0.35">
      <c r="B101" s="63" t="s">
        <v>4</v>
      </c>
      <c r="C101" s="21">
        <v>0.08</v>
      </c>
      <c r="D101" s="23">
        <f>100%</f>
        <v>1</v>
      </c>
      <c r="E101" s="23">
        <f t="shared" ref="E101:M101" si="19">D101*(1+$C101)</f>
        <v>1.08</v>
      </c>
      <c r="F101" s="23">
        <f t="shared" si="19"/>
        <v>1.1664000000000001</v>
      </c>
      <c r="G101" s="23">
        <f t="shared" si="19"/>
        <v>1.2597120000000002</v>
      </c>
      <c r="H101" s="23">
        <f t="shared" si="19"/>
        <v>1.3604889600000003</v>
      </c>
      <c r="I101" s="23">
        <f t="shared" si="19"/>
        <v>1.4693280768000003</v>
      </c>
      <c r="J101" s="23">
        <f t="shared" si="19"/>
        <v>1.5868743229440005</v>
      </c>
      <c r="K101" s="23">
        <f t="shared" si="19"/>
        <v>1.7138242687795207</v>
      </c>
      <c r="L101" s="23">
        <f t="shared" si="19"/>
        <v>1.8509302102818825</v>
      </c>
      <c r="M101" s="23">
        <f t="shared" si="19"/>
        <v>1.9990046271044333</v>
      </c>
      <c r="O101"/>
      <c r="P101"/>
    </row>
    <row r="102" spans="2:19" x14ac:dyDescent="0.35">
      <c r="B102" s="63" t="s">
        <v>15</v>
      </c>
      <c r="C102" s="21">
        <v>0.02</v>
      </c>
      <c r="D102" s="23">
        <f>100%</f>
        <v>1</v>
      </c>
      <c r="E102" s="23">
        <f t="shared" ref="E102:M102" si="20">D102*(1+$C102)</f>
        <v>1.02</v>
      </c>
      <c r="F102" s="23">
        <f t="shared" si="20"/>
        <v>1.0404</v>
      </c>
      <c r="G102" s="23">
        <f t="shared" si="20"/>
        <v>1.0612079999999999</v>
      </c>
      <c r="H102" s="23">
        <f t="shared" si="20"/>
        <v>1.08243216</v>
      </c>
      <c r="I102" s="23">
        <f t="shared" si="20"/>
        <v>1.1040808032</v>
      </c>
      <c r="J102" s="23">
        <f t="shared" si="20"/>
        <v>1.1261624192640001</v>
      </c>
      <c r="K102" s="23">
        <f t="shared" si="20"/>
        <v>1.14868566764928</v>
      </c>
      <c r="L102" s="23">
        <f t="shared" si="20"/>
        <v>1.1716593810022657</v>
      </c>
      <c r="M102" s="23">
        <f t="shared" si="20"/>
        <v>1.1950925686223111</v>
      </c>
    </row>
    <row r="103" spans="2:19" x14ac:dyDescent="0.35">
      <c r="B103" s="63" t="s">
        <v>5</v>
      </c>
      <c r="C103" s="21">
        <v>0.05</v>
      </c>
      <c r="D103" s="23">
        <f>100%</f>
        <v>1</v>
      </c>
      <c r="E103" s="23">
        <f t="shared" ref="E103:M103" si="21">D103*(1+$C103)</f>
        <v>1.05</v>
      </c>
      <c r="F103" s="23">
        <f t="shared" si="21"/>
        <v>1.1025</v>
      </c>
      <c r="G103" s="23">
        <f t="shared" si="21"/>
        <v>1.1576250000000001</v>
      </c>
      <c r="H103" s="23">
        <f t="shared" si="21"/>
        <v>1.2155062500000002</v>
      </c>
      <c r="I103" s="23">
        <f t="shared" si="21"/>
        <v>1.2762815625000004</v>
      </c>
      <c r="J103" s="23">
        <f t="shared" si="21"/>
        <v>1.3400956406250004</v>
      </c>
      <c r="K103" s="23">
        <f t="shared" si="21"/>
        <v>1.4071004226562505</v>
      </c>
      <c r="L103" s="23">
        <f t="shared" si="21"/>
        <v>1.477455443789063</v>
      </c>
      <c r="M103" s="23">
        <f t="shared" si="21"/>
        <v>1.5513282159785162</v>
      </c>
    </row>
    <row r="104" spans="2:19" ht="21" x14ac:dyDescent="0.5">
      <c r="B104" s="63" t="s">
        <v>65</v>
      </c>
      <c r="C104" s="21">
        <v>0.05</v>
      </c>
      <c r="D104" s="23">
        <f>100%</f>
        <v>1</v>
      </c>
      <c r="E104" s="23">
        <f t="shared" ref="E104:M104" si="22">D104*(1+$C104)</f>
        <v>1.05</v>
      </c>
      <c r="F104" s="23">
        <f t="shared" si="22"/>
        <v>1.1025</v>
      </c>
      <c r="G104" s="23">
        <f t="shared" si="22"/>
        <v>1.1576250000000001</v>
      </c>
      <c r="H104" s="23">
        <f t="shared" si="22"/>
        <v>1.2155062500000002</v>
      </c>
      <c r="I104" s="23">
        <f t="shared" si="22"/>
        <v>1.2762815625000004</v>
      </c>
      <c r="J104" s="23">
        <f t="shared" si="22"/>
        <v>1.3400956406250004</v>
      </c>
      <c r="K104" s="23">
        <f t="shared" si="22"/>
        <v>1.4071004226562505</v>
      </c>
      <c r="L104" s="23">
        <f t="shared" si="22"/>
        <v>1.477455443789063</v>
      </c>
      <c r="M104" s="23">
        <f t="shared" si="22"/>
        <v>1.5513282159785162</v>
      </c>
      <c r="N104" s="216"/>
    </row>
    <row r="105" spans="2:19" x14ac:dyDescent="0.35">
      <c r="N105" s="149"/>
      <c r="O105" s="148"/>
      <c r="P105" s="148"/>
    </row>
    <row r="106" spans="2:19" ht="21" x14ac:dyDescent="0.5">
      <c r="B106" s="184" t="s">
        <v>193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O106" s="148"/>
      <c r="P106" s="148"/>
    </row>
    <row r="107" spans="2:19" x14ac:dyDescent="0.35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</row>
    <row r="108" spans="2:19" x14ac:dyDescent="0.35">
      <c r="B108" s="150" t="s">
        <v>103</v>
      </c>
      <c r="C108" s="71">
        <v>44469</v>
      </c>
      <c r="D108" s="71">
        <v>44651</v>
      </c>
      <c r="E108" s="71">
        <v>45016</v>
      </c>
      <c r="F108" s="71">
        <v>45382</v>
      </c>
      <c r="G108" s="71">
        <v>45747</v>
      </c>
      <c r="H108" s="71">
        <v>46112</v>
      </c>
      <c r="I108" s="71">
        <v>46477</v>
      </c>
      <c r="J108" s="71">
        <v>46843</v>
      </c>
      <c r="K108" s="71">
        <v>47208</v>
      </c>
      <c r="L108" s="71">
        <v>47573</v>
      </c>
      <c r="M108" s="71">
        <v>47938</v>
      </c>
    </row>
    <row r="109" spans="2:19" x14ac:dyDescent="0.35"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R109">
        <v>121</v>
      </c>
    </row>
    <row r="110" spans="2:19" x14ac:dyDescent="0.35">
      <c r="B110" s="43" t="s">
        <v>12</v>
      </c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R110">
        <v>31.73</v>
      </c>
      <c r="S110" t="e">
        <f>SUMPRODUCT(R109:R110,#REF!)/SUM(#REF!)</f>
        <v>#REF!</v>
      </c>
    </row>
    <row r="111" spans="2:19" x14ac:dyDescent="0.35">
      <c r="B111" s="3" t="s">
        <v>42</v>
      </c>
      <c r="C111" s="127">
        <f>D31*10^7/200</f>
        <v>830000</v>
      </c>
      <c r="D111" s="127">
        <f>C111</f>
        <v>830000</v>
      </c>
      <c r="E111" s="127">
        <f t="shared" ref="E111:M111" si="23">D111</f>
        <v>830000</v>
      </c>
      <c r="F111" s="127">
        <f t="shared" si="23"/>
        <v>830000</v>
      </c>
      <c r="G111" s="127">
        <f t="shared" si="23"/>
        <v>830000</v>
      </c>
      <c r="H111" s="127">
        <f t="shared" si="23"/>
        <v>830000</v>
      </c>
      <c r="I111" s="127">
        <f t="shared" si="23"/>
        <v>830000</v>
      </c>
      <c r="J111" s="127">
        <f t="shared" si="23"/>
        <v>830000</v>
      </c>
      <c r="K111" s="127">
        <f t="shared" si="23"/>
        <v>830000</v>
      </c>
      <c r="L111" s="127">
        <f t="shared" si="23"/>
        <v>830000</v>
      </c>
      <c r="M111" s="127">
        <f t="shared" si="23"/>
        <v>830000</v>
      </c>
      <c r="R111">
        <v>3.78</v>
      </c>
    </row>
    <row r="112" spans="2:19" x14ac:dyDescent="0.35"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R112" t="e">
        <f>SUMPRODUCT(R109:R111,#REF!)/2</f>
        <v>#REF!</v>
      </c>
    </row>
    <row r="113" spans="2:16" s="2" customFormat="1" x14ac:dyDescent="0.35">
      <c r="B113" s="59" t="s">
        <v>229</v>
      </c>
      <c r="C113" s="27"/>
      <c r="D113" s="146">
        <f t="shared" ref="D113:M113" si="24">D97</f>
        <v>44651</v>
      </c>
      <c r="E113" s="146">
        <f t="shared" si="24"/>
        <v>45016</v>
      </c>
      <c r="F113" s="146">
        <f t="shared" si="24"/>
        <v>45382</v>
      </c>
      <c r="G113" s="146">
        <f t="shared" si="24"/>
        <v>45747</v>
      </c>
      <c r="H113" s="146">
        <f t="shared" si="24"/>
        <v>46112</v>
      </c>
      <c r="I113" s="146">
        <f t="shared" si="24"/>
        <v>46477</v>
      </c>
      <c r="J113" s="146">
        <f t="shared" si="24"/>
        <v>46843</v>
      </c>
      <c r="K113" s="146">
        <f t="shared" si="24"/>
        <v>47208</v>
      </c>
      <c r="L113" s="146">
        <f t="shared" si="24"/>
        <v>47573</v>
      </c>
      <c r="M113" s="146">
        <f t="shared" si="24"/>
        <v>47938</v>
      </c>
      <c r="O113"/>
      <c r="P113"/>
    </row>
    <row r="114" spans="2:16" s="2" customFormat="1" x14ac:dyDescent="0.35">
      <c r="C114" s="66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</row>
    <row r="115" spans="2:16" x14ac:dyDescent="0.35">
      <c r="B115" s="66" t="s">
        <v>235</v>
      </c>
      <c r="C115" s="66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O115" s="2"/>
      <c r="P115" s="2"/>
    </row>
    <row r="116" spans="2:16" x14ac:dyDescent="0.35">
      <c r="B116" s="2" t="s">
        <v>105</v>
      </c>
      <c r="C116" s="66"/>
      <c r="D116" s="153">
        <f>1225000*6</f>
        <v>7350000</v>
      </c>
      <c r="E116" s="153">
        <f>E117*D116*2</f>
        <v>14700000</v>
      </c>
      <c r="F116" s="153">
        <f t="shared" ref="F116:M116" si="25">F117*E116</f>
        <v>15435000</v>
      </c>
      <c r="G116" s="153">
        <f t="shared" si="25"/>
        <v>16206750</v>
      </c>
      <c r="H116" s="153">
        <f t="shared" si="25"/>
        <v>17017087.5</v>
      </c>
      <c r="I116" s="153">
        <f t="shared" si="25"/>
        <v>17867941.875</v>
      </c>
      <c r="J116" s="153">
        <f t="shared" si="25"/>
        <v>18761338.96875</v>
      </c>
      <c r="K116" s="153">
        <f t="shared" si="25"/>
        <v>19699405.917187501</v>
      </c>
      <c r="L116" s="153">
        <f t="shared" si="25"/>
        <v>20684376.213046875</v>
      </c>
      <c r="M116" s="153">
        <f t="shared" si="25"/>
        <v>21718595.02369922</v>
      </c>
      <c r="O116" s="2"/>
      <c r="P116" s="2"/>
    </row>
    <row r="117" spans="2:16" x14ac:dyDescent="0.35">
      <c r="B117" s="2" t="s">
        <v>41</v>
      </c>
      <c r="C117" s="66"/>
      <c r="D117" s="154">
        <v>1</v>
      </c>
      <c r="E117" s="154">
        <v>1</v>
      </c>
      <c r="F117" s="155">
        <f>E117*105%</f>
        <v>1.05</v>
      </c>
      <c r="G117" s="155">
        <f t="shared" ref="G117:M117" si="26">F117</f>
        <v>1.05</v>
      </c>
      <c r="H117" s="155">
        <f t="shared" si="26"/>
        <v>1.05</v>
      </c>
      <c r="I117" s="155">
        <f t="shared" si="26"/>
        <v>1.05</v>
      </c>
      <c r="J117" s="155">
        <f t="shared" si="26"/>
        <v>1.05</v>
      </c>
      <c r="K117" s="155">
        <f t="shared" si="26"/>
        <v>1.05</v>
      </c>
      <c r="L117" s="155">
        <f t="shared" si="26"/>
        <v>1.05</v>
      </c>
      <c r="M117" s="155">
        <f t="shared" si="26"/>
        <v>1.05</v>
      </c>
      <c r="O117" s="2"/>
      <c r="P117" s="2"/>
    </row>
    <row r="118" spans="2:16" x14ac:dyDescent="0.35">
      <c r="B118" s="2"/>
      <c r="C118" s="66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2"/>
      <c r="P118" s="2"/>
    </row>
    <row r="119" spans="2:16" x14ac:dyDescent="0.35">
      <c r="B119" s="43" t="s">
        <v>43</v>
      </c>
      <c r="D119" s="72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</row>
    <row r="120" spans="2:16" x14ac:dyDescent="0.35">
      <c r="B120" s="3" t="s">
        <v>231</v>
      </c>
      <c r="C120" s="72">
        <v>0.36</v>
      </c>
      <c r="D120" s="72">
        <f>C120</f>
        <v>0.36</v>
      </c>
      <c r="E120" s="72">
        <f t="shared" ref="E120:M120" si="27">D120</f>
        <v>0.36</v>
      </c>
      <c r="F120" s="72">
        <f t="shared" si="27"/>
        <v>0.36</v>
      </c>
      <c r="G120" s="72">
        <f t="shared" si="27"/>
        <v>0.36</v>
      </c>
      <c r="H120" s="72">
        <f t="shared" si="27"/>
        <v>0.36</v>
      </c>
      <c r="I120" s="72">
        <f t="shared" si="27"/>
        <v>0.36</v>
      </c>
      <c r="J120" s="72">
        <f t="shared" si="27"/>
        <v>0.36</v>
      </c>
      <c r="K120" s="72">
        <f t="shared" si="27"/>
        <v>0.36</v>
      </c>
      <c r="L120" s="72">
        <f t="shared" si="27"/>
        <v>0.36</v>
      </c>
      <c r="M120" s="72">
        <f t="shared" si="27"/>
        <v>0.36</v>
      </c>
    </row>
    <row r="121" spans="2:16" x14ac:dyDescent="0.35">
      <c r="B121" s="3" t="s">
        <v>230</v>
      </c>
      <c r="C121" s="72"/>
      <c r="D121" s="89">
        <f t="shared" ref="D121:M121" si="28">D103</f>
        <v>1</v>
      </c>
      <c r="E121" s="89">
        <f t="shared" si="28"/>
        <v>1.05</v>
      </c>
      <c r="F121" s="89">
        <f t="shared" si="28"/>
        <v>1.1025</v>
      </c>
      <c r="G121" s="89">
        <f t="shared" si="28"/>
        <v>1.1576250000000001</v>
      </c>
      <c r="H121" s="89">
        <f t="shared" si="28"/>
        <v>1.2155062500000002</v>
      </c>
      <c r="I121" s="89">
        <f t="shared" si="28"/>
        <v>1.2762815625000004</v>
      </c>
      <c r="J121" s="89">
        <f t="shared" si="28"/>
        <v>1.3400956406250004</v>
      </c>
      <c r="K121" s="89">
        <f t="shared" si="28"/>
        <v>1.4071004226562505</v>
      </c>
      <c r="L121" s="89">
        <f t="shared" si="28"/>
        <v>1.477455443789063</v>
      </c>
      <c r="M121" s="89">
        <f t="shared" si="28"/>
        <v>1.5513282159785162</v>
      </c>
    </row>
    <row r="122" spans="2:16" x14ac:dyDescent="0.35">
      <c r="C122" s="72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2:16" x14ac:dyDescent="0.35">
      <c r="B123" s="43" t="s">
        <v>6</v>
      </c>
      <c r="C123" s="72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</row>
    <row r="124" spans="2:16" x14ac:dyDescent="0.35">
      <c r="B124" s="63" t="s">
        <v>234</v>
      </c>
      <c r="C124" s="72"/>
      <c r="D124" s="152">
        <v>2.5000000000000001E-2</v>
      </c>
      <c r="E124" s="152">
        <v>2.5000000000000001E-2</v>
      </c>
      <c r="F124" s="152">
        <v>2.5000000000000001E-2</v>
      </c>
      <c r="G124" s="152">
        <v>2.5000000000000001E-2</v>
      </c>
      <c r="H124" s="152">
        <v>2.5000000000000001E-2</v>
      </c>
      <c r="I124" s="152">
        <v>2.5000000000000001E-2</v>
      </c>
      <c r="J124" s="152">
        <v>2.5000000000000001E-2</v>
      </c>
      <c r="K124" s="152">
        <v>2.5000000000000001E-2</v>
      </c>
      <c r="L124" s="152">
        <v>2.5000000000000001E-2</v>
      </c>
      <c r="M124" s="152">
        <v>2.5000000000000001E-2</v>
      </c>
    </row>
    <row r="125" spans="2:16" x14ac:dyDescent="0.35">
      <c r="B125" s="63" t="s">
        <v>230</v>
      </c>
      <c r="C125" s="72"/>
      <c r="D125" s="89">
        <f t="shared" ref="D125:M125" si="29">D104</f>
        <v>1</v>
      </c>
      <c r="E125" s="89">
        <f t="shared" si="29"/>
        <v>1.05</v>
      </c>
      <c r="F125" s="89">
        <f t="shared" si="29"/>
        <v>1.1025</v>
      </c>
      <c r="G125" s="89">
        <f t="shared" si="29"/>
        <v>1.1576250000000001</v>
      </c>
      <c r="H125" s="89">
        <f t="shared" si="29"/>
        <v>1.2155062500000002</v>
      </c>
      <c r="I125" s="89">
        <f t="shared" si="29"/>
        <v>1.2762815625000004</v>
      </c>
      <c r="J125" s="89">
        <f t="shared" si="29"/>
        <v>1.3400956406250004</v>
      </c>
      <c r="K125" s="89">
        <f t="shared" si="29"/>
        <v>1.4071004226562505</v>
      </c>
      <c r="L125" s="89">
        <f t="shared" si="29"/>
        <v>1.477455443789063</v>
      </c>
      <c r="M125" s="89">
        <f t="shared" si="29"/>
        <v>1.5513282159785162</v>
      </c>
    </row>
    <row r="126" spans="2:16" x14ac:dyDescent="0.35">
      <c r="C126" s="72"/>
      <c r="D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2:16" x14ac:dyDescent="0.35">
      <c r="B127" s="43" t="s">
        <v>194</v>
      </c>
      <c r="C127" s="65"/>
      <c r="D127" s="67">
        <f t="shared" ref="D127:M127" si="30">D89</f>
        <v>0.05</v>
      </c>
      <c r="E127" s="67">
        <f t="shared" si="30"/>
        <v>4.0000000000000008E-2</v>
      </c>
      <c r="F127" s="67">
        <f t="shared" si="30"/>
        <v>3.2000000000000008E-2</v>
      </c>
      <c r="G127" s="67">
        <f t="shared" si="30"/>
        <v>2.5600000000000008E-2</v>
      </c>
      <c r="H127" s="67">
        <f t="shared" si="30"/>
        <v>2.0480000000000009E-2</v>
      </c>
      <c r="I127" s="67">
        <f t="shared" si="30"/>
        <v>1.8432000000000007E-2</v>
      </c>
      <c r="J127" s="67">
        <f t="shared" si="30"/>
        <v>1.6588800000000008E-2</v>
      </c>
      <c r="K127" s="67">
        <f t="shared" si="30"/>
        <v>1.4929920000000008E-2</v>
      </c>
      <c r="L127" s="67">
        <f t="shared" si="30"/>
        <v>1.3436928000000008E-2</v>
      </c>
      <c r="M127" s="67">
        <f t="shared" si="30"/>
        <v>1.2765081600000007E-2</v>
      </c>
    </row>
    <row r="128" spans="2:16" x14ac:dyDescent="0.35">
      <c r="D128" s="127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</row>
    <row r="129" spans="2:7" x14ac:dyDescent="0.35">
      <c r="C129" s="1"/>
      <c r="D129" s="1"/>
    </row>
    <row r="130" spans="2:7" x14ac:dyDescent="0.35">
      <c r="B130" s="43" t="s">
        <v>67</v>
      </c>
      <c r="C130" s="1"/>
      <c r="D130" s="1"/>
    </row>
    <row r="131" spans="2:7" x14ac:dyDescent="0.35">
      <c r="B131" s="3" t="s">
        <v>91</v>
      </c>
      <c r="C131" s="7">
        <v>30</v>
      </c>
    </row>
    <row r="132" spans="2:7" x14ac:dyDescent="0.35">
      <c r="B132" s="3" t="s">
        <v>93</v>
      </c>
      <c r="C132" s="7">
        <v>30</v>
      </c>
    </row>
    <row r="133" spans="2:7" x14ac:dyDescent="0.35">
      <c r="B133" s="3" t="s">
        <v>106</v>
      </c>
      <c r="C133" s="24">
        <v>0.1</v>
      </c>
    </row>
    <row r="134" spans="2:7" x14ac:dyDescent="0.35">
      <c r="B134" s="3" t="s">
        <v>251</v>
      </c>
      <c r="C134" s="21">
        <v>0.06</v>
      </c>
    </row>
    <row r="135" spans="2:7" x14ac:dyDescent="0.35">
      <c r="G135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workbookViewId="0">
      <selection activeCell="N10" sqref="N10"/>
    </sheetView>
  </sheetViews>
  <sheetFormatPr defaultRowHeight="14.5" x14ac:dyDescent="0.35"/>
  <cols>
    <col min="1" max="1" width="2.7265625" customWidth="1"/>
    <col min="2" max="2" width="15.453125" bestFit="1" customWidth="1"/>
    <col min="4" max="6" width="9.26953125" bestFit="1" customWidth="1"/>
    <col min="7" max="13" width="9.54296875" bestFit="1" customWidth="1"/>
  </cols>
  <sheetData>
    <row r="1" spans="2:14" x14ac:dyDescent="0.35">
      <c r="B1" t="s">
        <v>221</v>
      </c>
    </row>
    <row r="2" spans="2:14" x14ac:dyDescent="0.35">
      <c r="B2" s="113" t="s">
        <v>103</v>
      </c>
      <c r="C2" s="113">
        <v>44469</v>
      </c>
      <c r="D2" s="113">
        <v>44651</v>
      </c>
      <c r="E2" s="113">
        <v>45016</v>
      </c>
      <c r="F2" s="113">
        <v>45382</v>
      </c>
      <c r="G2" s="113">
        <v>45747</v>
      </c>
      <c r="H2" s="113">
        <v>46112</v>
      </c>
      <c r="I2" s="113">
        <v>46477</v>
      </c>
      <c r="J2" s="113">
        <v>46843</v>
      </c>
      <c r="K2" s="113">
        <v>47208</v>
      </c>
      <c r="L2" s="113">
        <v>47573</v>
      </c>
      <c r="M2" s="135">
        <v>47938</v>
      </c>
    </row>
    <row r="4" spans="2:14" x14ac:dyDescent="0.35">
      <c r="B4" s="1" t="s">
        <v>202</v>
      </c>
    </row>
    <row r="6" spans="2:14" x14ac:dyDescent="0.35">
      <c r="B6" t="s">
        <v>151</v>
      </c>
      <c r="D6" s="3">
        <f>'P&amp;L'!E26</f>
        <v>6.9589625382352978</v>
      </c>
      <c r="E6" s="3">
        <f>'P&amp;L'!F26</f>
        <v>16.027576596538253</v>
      </c>
      <c r="F6" s="3">
        <f>'P&amp;L'!G26</f>
        <v>64.837376570736893</v>
      </c>
      <c r="G6" s="3">
        <f>'P&amp;L'!H26</f>
        <v>176.00644160086989</v>
      </c>
      <c r="H6" s="3">
        <f>'P&amp;L'!I26</f>
        <v>343.5036770162593</v>
      </c>
      <c r="I6" s="3">
        <f>'P&amp;L'!J26</f>
        <v>498.49605561446219</v>
      </c>
      <c r="J6" s="3">
        <f>'P&amp;L'!K26</f>
        <v>643.56629237299092</v>
      </c>
      <c r="K6" s="3">
        <f>'P&amp;L'!L26</f>
        <v>787.74809884342585</v>
      </c>
      <c r="L6" s="3">
        <f>'P&amp;L'!M26</f>
        <v>901.85557480837019</v>
      </c>
      <c r="M6" s="3">
        <f>'P&amp;L'!N26</f>
        <v>955.10473856049498</v>
      </c>
    </row>
    <row r="8" spans="2:14" x14ac:dyDescent="0.35">
      <c r="B8" t="s">
        <v>201</v>
      </c>
      <c r="D8" s="3">
        <f>'Cash Flow'!C7+SUM('Cash Flow'!C37:C62)</f>
        <v>1.5</v>
      </c>
      <c r="E8" s="3">
        <f>'Cash Flow'!D7+SUM('Cash Flow'!D37:D62)</f>
        <v>9.6</v>
      </c>
      <c r="F8" s="3">
        <f>'Cash Flow'!E7+SUM('Cash Flow'!E37:E62)</f>
        <v>28.13</v>
      </c>
      <c r="G8" s="3">
        <f>'Cash Flow'!F7+SUM('Cash Flow'!F37:F62)</f>
        <v>72.349999999999994</v>
      </c>
      <c r="H8" s="3">
        <f>'Cash Flow'!G7+SUM('Cash Flow'!G37:G62)</f>
        <v>134.91499999999999</v>
      </c>
      <c r="I8" s="3">
        <f>'Cash Flow'!H7+SUM('Cash Flow'!H37:H62)</f>
        <v>243.69499999999999</v>
      </c>
      <c r="J8" s="3">
        <f>'Cash Flow'!I7+SUM('Cash Flow'!I37:I62)</f>
        <v>374.24416666666667</v>
      </c>
      <c r="K8" s="3">
        <f>'Cash Flow'!J7+SUM('Cash Flow'!J37:J62)</f>
        <v>656.78083333333325</v>
      </c>
      <c r="L8" s="3">
        <f>'Cash Flow'!K7+SUM('Cash Flow'!K37:K62)</f>
        <v>513.97</v>
      </c>
      <c r="M8" s="3">
        <f>'Cash Flow'!L7+SUM('Cash Flow'!L37:L62)</f>
        <v>0</v>
      </c>
    </row>
    <row r="10" spans="2:14" x14ac:dyDescent="0.35">
      <c r="B10" s="22" t="s">
        <v>202</v>
      </c>
      <c r="C10" s="22"/>
      <c r="D10" s="36">
        <f t="shared" ref="D10:K10" si="0">IFERROR(D6/D8,0)</f>
        <v>4.6393083588235315</v>
      </c>
      <c r="E10" s="36">
        <f t="shared" si="0"/>
        <v>1.6695392288060682</v>
      </c>
      <c r="F10" s="36">
        <f t="shared" si="0"/>
        <v>2.304919181327298</v>
      </c>
      <c r="G10" s="36">
        <f t="shared" si="0"/>
        <v>2.4327082460382847</v>
      </c>
      <c r="H10" s="36">
        <f t="shared" si="0"/>
        <v>2.5460747657136666</v>
      </c>
      <c r="I10" s="36">
        <f t="shared" si="0"/>
        <v>2.0455735883561919</v>
      </c>
      <c r="J10" s="36">
        <f t="shared" si="0"/>
        <v>1.7196428152912406</v>
      </c>
      <c r="K10" s="36">
        <f t="shared" si="0"/>
        <v>1.199407867683044</v>
      </c>
      <c r="L10" s="36">
        <f>IFERROR(L6/L8,0)</f>
        <v>1.7546852439021152</v>
      </c>
      <c r="M10" s="36">
        <f>IFERROR(M6/M8,0)</f>
        <v>0</v>
      </c>
      <c r="N10" s="20"/>
    </row>
    <row r="12" spans="2:14" x14ac:dyDescent="0.35">
      <c r="B12" s="1" t="s">
        <v>224</v>
      </c>
    </row>
    <row r="14" spans="2:14" x14ac:dyDescent="0.35">
      <c r="B14" t="s">
        <v>222</v>
      </c>
      <c r="D14" s="7">
        <f>'Balance Sheet'!C7</f>
        <v>0</v>
      </c>
      <c r="E14" s="7">
        <f>'Balance Sheet'!D7</f>
        <v>100</v>
      </c>
      <c r="F14" s="7">
        <f>'Balance Sheet'!E7</f>
        <v>220</v>
      </c>
      <c r="G14" s="7">
        <f>'Balance Sheet'!F7</f>
        <v>551</v>
      </c>
      <c r="H14" s="7">
        <f>'Balance Sheet'!G7</f>
        <v>894</v>
      </c>
      <c r="I14" s="7">
        <f>'Balance Sheet'!H7</f>
        <v>1086.5</v>
      </c>
      <c r="J14" s="7">
        <f>'Balance Sheet'!I7</f>
        <v>1220</v>
      </c>
      <c r="K14" s="7">
        <f>'Balance Sheet'!J7</f>
        <v>1107.5833333333333</v>
      </c>
      <c r="L14" s="7">
        <f>'Balance Sheet'!K7</f>
        <v>499</v>
      </c>
      <c r="M14" s="7">
        <f>'Balance Sheet'!L7</f>
        <v>0</v>
      </c>
    </row>
    <row r="15" spans="2:14" x14ac:dyDescent="0.35"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4" x14ac:dyDescent="0.35">
      <c r="B16" t="s">
        <v>56</v>
      </c>
      <c r="D16" s="7">
        <f>SUM('Balance Sheet'!C5:C6)</f>
        <v>411.63514330975795</v>
      </c>
      <c r="E16" s="7">
        <f>SUM('Balance Sheet'!D5:D6)</f>
        <v>413.20297225102269</v>
      </c>
      <c r="F16" s="7">
        <f>SUM('Balance Sheet'!E5:E6)</f>
        <v>767.35707370016576</v>
      </c>
      <c r="G16" s="7">
        <f>SUM('Balance Sheet'!F5:F6)</f>
        <v>1117.5400385149078</v>
      </c>
      <c r="H16" s="7">
        <f>SUM('Balance Sheet'!G5:G6)</f>
        <v>1166.5870731129896</v>
      </c>
      <c r="I16" s="7">
        <f>SUM('Balance Sheet'!H5:H6)</f>
        <v>1319.5610324405143</v>
      </c>
      <c r="J16" s="7">
        <f>SUM('Balance Sheet'!I5:I6)</f>
        <v>1575.1310994729774</v>
      </c>
      <c r="K16" s="7">
        <f>SUM('Balance Sheet'!J5:J6)</f>
        <v>1948.1486750807073</v>
      </c>
      <c r="L16" s="7">
        <f>SUM('Balance Sheet'!K5:K6)</f>
        <v>2452.9743642177782</v>
      </c>
      <c r="M16" s="7">
        <f>SUM('Balance Sheet'!L5:L6)</f>
        <v>3074.6568910667129</v>
      </c>
    </row>
    <row r="17" spans="2:13" x14ac:dyDescent="0.35"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35">
      <c r="B18" s="22" t="s">
        <v>223</v>
      </c>
      <c r="C18" s="22"/>
      <c r="D18" s="36">
        <f>D14/D16</f>
        <v>0</v>
      </c>
      <c r="E18" s="36">
        <f t="shared" ref="E18:M18" si="1">E14/E16</f>
        <v>0.24201181190741664</v>
      </c>
      <c r="F18" s="36">
        <f t="shared" si="1"/>
        <v>0.28669834102026143</v>
      </c>
      <c r="G18" s="36">
        <f t="shared" si="1"/>
        <v>0.49304721174215876</v>
      </c>
      <c r="H18" s="36">
        <f t="shared" si="1"/>
        <v>0.76633799619808729</v>
      </c>
      <c r="I18" s="36">
        <f t="shared" si="1"/>
        <v>0.82337987655677403</v>
      </c>
      <c r="J18" s="36">
        <f t="shared" si="1"/>
        <v>0.77453870373596168</v>
      </c>
      <c r="K18" s="36">
        <f t="shared" si="1"/>
        <v>0.56853121504571447</v>
      </c>
      <c r="L18" s="36">
        <f t="shared" si="1"/>
        <v>0.20342650427947895</v>
      </c>
      <c r="M18" s="36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showGridLines="0" workbookViewId="0">
      <pane ySplit="3" topLeftCell="A25" activePane="bottomLeft" state="frozen"/>
      <selection pane="bottomLeft" activeCell="G41" sqref="G41"/>
    </sheetView>
  </sheetViews>
  <sheetFormatPr defaultRowHeight="14.5" x14ac:dyDescent="0.35"/>
  <cols>
    <col min="1" max="1" width="2.7265625" customWidth="1"/>
    <col min="2" max="2" width="36.7265625" bestFit="1" customWidth="1"/>
    <col min="3" max="3" width="7.7265625" style="86" customWidth="1"/>
    <col min="4" max="6" width="15.81640625" bestFit="1" customWidth="1"/>
    <col min="7" max="7" width="17.54296875" bestFit="1" customWidth="1"/>
    <col min="8" max="8" width="12.7265625" bestFit="1" customWidth="1"/>
  </cols>
  <sheetData>
    <row r="1" spans="2:7" x14ac:dyDescent="0.35">
      <c r="B1" s="1" t="s">
        <v>68</v>
      </c>
    </row>
    <row r="2" spans="2:7" x14ac:dyDescent="0.35">
      <c r="B2" s="1" t="s">
        <v>31</v>
      </c>
    </row>
    <row r="3" spans="2:7" x14ac:dyDescent="0.35">
      <c r="B3" s="98" t="s">
        <v>55</v>
      </c>
      <c r="C3" s="95"/>
      <c r="D3" s="99">
        <v>43555</v>
      </c>
      <c r="E3" s="99">
        <v>43921</v>
      </c>
      <c r="F3" s="99">
        <v>44286</v>
      </c>
      <c r="G3" s="99">
        <v>44469</v>
      </c>
    </row>
    <row r="4" spans="2:7" x14ac:dyDescent="0.35">
      <c r="B4" s="96"/>
      <c r="C4" s="107"/>
      <c r="D4" s="96"/>
      <c r="E4" s="96"/>
      <c r="F4" s="96"/>
      <c r="G4" s="96"/>
    </row>
    <row r="5" spans="2:7" x14ac:dyDescent="0.35">
      <c r="B5" s="96" t="s">
        <v>107</v>
      </c>
      <c r="C5" s="107"/>
      <c r="D5" s="97">
        <v>2020000</v>
      </c>
      <c r="E5" s="97">
        <v>2020000</v>
      </c>
      <c r="F5" s="97">
        <v>2020000</v>
      </c>
      <c r="G5" s="97">
        <v>3932880</v>
      </c>
    </row>
    <row r="6" spans="2:7" x14ac:dyDescent="0.35">
      <c r="B6" s="96" t="s">
        <v>57</v>
      </c>
      <c r="C6" s="107"/>
      <c r="D6" s="97">
        <v>294331518.25999987</v>
      </c>
      <c r="E6" s="97">
        <f>E85</f>
        <v>355855005.82757956</v>
      </c>
      <c r="F6" s="97">
        <f>F85</f>
        <v>363469337.06757951</v>
      </c>
      <c r="G6" s="97">
        <f>G85</f>
        <v>4112418553.0975795</v>
      </c>
    </row>
    <row r="7" spans="2:7" x14ac:dyDescent="0.35">
      <c r="B7" s="96"/>
      <c r="C7" s="107" t="s">
        <v>108</v>
      </c>
      <c r="D7" s="100">
        <f>SUM(D5:D6)</f>
        <v>296351518.25999987</v>
      </c>
      <c r="E7" s="100">
        <f t="shared" ref="E7:G7" si="0">SUM(E5:E6)</f>
        <v>357875005.82757956</v>
      </c>
      <c r="F7" s="100">
        <f t="shared" si="0"/>
        <v>365489337.06757951</v>
      </c>
      <c r="G7" s="100">
        <f t="shared" si="0"/>
        <v>4116351433.0975795</v>
      </c>
    </row>
    <row r="8" spans="2:7" x14ac:dyDescent="0.35">
      <c r="B8" s="96" t="s">
        <v>109</v>
      </c>
      <c r="C8" s="107"/>
      <c r="D8" s="97"/>
      <c r="E8" s="97"/>
      <c r="F8" s="97"/>
      <c r="G8" s="97"/>
    </row>
    <row r="9" spans="2:7" x14ac:dyDescent="0.35">
      <c r="B9" s="96" t="s">
        <v>110</v>
      </c>
      <c r="C9" s="107"/>
      <c r="D9" s="97">
        <v>46195</v>
      </c>
      <c r="E9" s="97"/>
      <c r="F9" s="97"/>
      <c r="G9" s="122"/>
    </row>
    <row r="10" spans="2:7" x14ac:dyDescent="0.35">
      <c r="B10" s="96" t="s">
        <v>111</v>
      </c>
      <c r="C10" s="107"/>
      <c r="D10" s="97"/>
      <c r="E10" s="97">
        <v>2613425</v>
      </c>
      <c r="F10" s="97">
        <v>4085358</v>
      </c>
      <c r="G10" s="122">
        <v>4835358</v>
      </c>
    </row>
    <row r="11" spans="2:7" x14ac:dyDescent="0.35">
      <c r="B11" s="96" t="s">
        <v>112</v>
      </c>
      <c r="C11" s="107"/>
      <c r="D11" s="97"/>
      <c r="E11" s="97"/>
      <c r="F11" s="97"/>
      <c r="G11" s="122">
        <v>5685257</v>
      </c>
    </row>
    <row r="12" spans="2:7" x14ac:dyDescent="0.35">
      <c r="B12" s="96" t="s">
        <v>113</v>
      </c>
      <c r="C12" s="107"/>
      <c r="D12" s="97"/>
      <c r="E12" s="97"/>
      <c r="F12" s="97"/>
      <c r="G12" s="122">
        <v>0</v>
      </c>
    </row>
    <row r="13" spans="2:7" x14ac:dyDescent="0.35">
      <c r="B13" s="96"/>
      <c r="C13" s="107" t="s">
        <v>114</v>
      </c>
      <c r="D13" s="100">
        <f>SUM(D9:D12)</f>
        <v>46195</v>
      </c>
      <c r="E13" s="100">
        <f t="shared" ref="E13:G13" si="1">SUM(E9:E12)</f>
        <v>2613425</v>
      </c>
      <c r="F13" s="100">
        <f t="shared" si="1"/>
        <v>4085358</v>
      </c>
      <c r="G13" s="123">
        <f t="shared" si="1"/>
        <v>10520615</v>
      </c>
    </row>
    <row r="14" spans="2:7" x14ac:dyDescent="0.35">
      <c r="B14" s="96"/>
      <c r="C14" s="107"/>
      <c r="D14" s="97"/>
      <c r="E14" s="97"/>
      <c r="F14" s="97"/>
      <c r="G14" s="122"/>
    </row>
    <row r="15" spans="2:7" x14ac:dyDescent="0.35">
      <c r="B15" s="96"/>
      <c r="C15" s="107"/>
      <c r="D15" s="97"/>
      <c r="E15" s="97"/>
      <c r="F15" s="97"/>
      <c r="G15" s="122"/>
    </row>
    <row r="16" spans="2:7" x14ac:dyDescent="0.35">
      <c r="B16" s="96" t="s">
        <v>115</v>
      </c>
      <c r="C16" s="107"/>
      <c r="D16" s="97"/>
      <c r="E16" s="97"/>
      <c r="F16" s="97"/>
      <c r="G16" s="122"/>
    </row>
    <row r="17" spans="2:8" x14ac:dyDescent="0.35">
      <c r="B17" s="96" t="s">
        <v>116</v>
      </c>
      <c r="C17" s="107"/>
      <c r="D17" s="97">
        <v>33490748.140000001</v>
      </c>
      <c r="E17" s="97">
        <v>44885635.060000002</v>
      </c>
      <c r="F17" s="97">
        <v>98160608.480000004</v>
      </c>
      <c r="G17" s="122">
        <f>198844829.75-81448509.956625</f>
        <v>117396319.793375</v>
      </c>
      <c r="H17" t="s">
        <v>186</v>
      </c>
    </row>
    <row r="18" spans="2:8" x14ac:dyDescent="0.35">
      <c r="B18" s="96" t="s">
        <v>117</v>
      </c>
      <c r="C18" s="107"/>
      <c r="D18" s="97">
        <v>40000</v>
      </c>
      <c r="E18" s="97">
        <v>47644000</v>
      </c>
      <c r="F18" s="97">
        <v>313945734</v>
      </c>
      <c r="G18" s="122">
        <v>0</v>
      </c>
    </row>
    <row r="19" spans="2:8" x14ac:dyDescent="0.35">
      <c r="B19" s="96" t="s">
        <v>118</v>
      </c>
      <c r="C19" s="107"/>
      <c r="D19" s="97">
        <v>35014588.719999999</v>
      </c>
      <c r="E19" s="97">
        <v>30566526.68</v>
      </c>
      <c r="F19" s="97">
        <v>53162426.719999999</v>
      </c>
      <c r="G19" s="122">
        <v>-6773776.2899999991</v>
      </c>
    </row>
    <row r="20" spans="2:8" x14ac:dyDescent="0.35">
      <c r="B20" s="96" t="s">
        <v>119</v>
      </c>
      <c r="C20" s="107"/>
      <c r="D20" s="97">
        <v>3769684.46</v>
      </c>
      <c r="E20" s="97">
        <v>2251184</v>
      </c>
      <c r="F20" s="97">
        <v>12809081</v>
      </c>
      <c r="G20" s="122">
        <v>20226355</v>
      </c>
    </row>
    <row r="21" spans="2:8" x14ac:dyDescent="0.35">
      <c r="B21" s="96"/>
      <c r="C21" s="107" t="s">
        <v>120</v>
      </c>
      <c r="D21" s="100">
        <f>SUM(D17:D20)</f>
        <v>72315021.319999993</v>
      </c>
      <c r="E21" s="100">
        <f t="shared" ref="E21:G21" si="2">SUM(E17:E20)</f>
        <v>125347345.74000001</v>
      </c>
      <c r="F21" s="100">
        <f t="shared" si="2"/>
        <v>478077850.20000005</v>
      </c>
      <c r="G21" s="100">
        <f t="shared" si="2"/>
        <v>130848898.50337499</v>
      </c>
    </row>
    <row r="22" spans="2:8" x14ac:dyDescent="0.35">
      <c r="B22" s="96"/>
      <c r="C22" s="107"/>
      <c r="D22" s="97"/>
      <c r="E22" s="97"/>
      <c r="F22" s="97"/>
      <c r="G22" s="97"/>
    </row>
    <row r="23" spans="2:8" ht="15" thickBot="1" x14ac:dyDescent="0.4">
      <c r="B23" s="102" t="s">
        <v>32</v>
      </c>
      <c r="C23" s="108" t="s">
        <v>121</v>
      </c>
      <c r="D23" s="101">
        <f>D7+D13+D21</f>
        <v>368712734.57999986</v>
      </c>
      <c r="E23" s="101">
        <f t="shared" ref="E23:G23" si="3">E7+E13+E21</f>
        <v>485835776.56757957</v>
      </c>
      <c r="F23" s="101">
        <f t="shared" si="3"/>
        <v>847652545.26757956</v>
      </c>
      <c r="G23" s="101">
        <f t="shared" si="3"/>
        <v>4257720946.6009545</v>
      </c>
    </row>
    <row r="24" spans="2:8" x14ac:dyDescent="0.35">
      <c r="B24" s="96"/>
      <c r="C24" s="107"/>
      <c r="D24" s="97"/>
      <c r="E24" s="97"/>
      <c r="F24" s="97"/>
      <c r="G24" s="97"/>
    </row>
    <row r="25" spans="2:8" x14ac:dyDescent="0.35">
      <c r="B25" s="96" t="s">
        <v>122</v>
      </c>
      <c r="C25" s="107"/>
      <c r="D25" s="97"/>
      <c r="E25" s="97"/>
      <c r="F25" s="97"/>
      <c r="G25" s="97"/>
    </row>
    <row r="26" spans="2:8" x14ac:dyDescent="0.35">
      <c r="B26" s="96" t="s">
        <v>123</v>
      </c>
      <c r="C26" s="107"/>
      <c r="D26" s="97"/>
      <c r="E26" s="97"/>
      <c r="F26" s="97"/>
      <c r="G26" s="97"/>
    </row>
    <row r="27" spans="2:8" x14ac:dyDescent="0.35">
      <c r="B27" s="96" t="s">
        <v>124</v>
      </c>
      <c r="C27" s="107"/>
      <c r="D27" s="97"/>
      <c r="E27" s="97"/>
      <c r="F27" s="97"/>
      <c r="G27" s="122"/>
    </row>
    <row r="28" spans="2:8" x14ac:dyDescent="0.35">
      <c r="B28" s="96" t="s">
        <v>125</v>
      </c>
      <c r="C28" s="107"/>
      <c r="D28" s="97">
        <v>71503185.289999992</v>
      </c>
      <c r="E28" s="97">
        <v>120531045.90000002</v>
      </c>
      <c r="F28" s="97">
        <v>328855286.71000004</v>
      </c>
      <c r="G28" s="122">
        <f>(FA!E9*10^7)-(FA!E104*10^7)</f>
        <v>747092193.78095448</v>
      </c>
    </row>
    <row r="29" spans="2:8" x14ac:dyDescent="0.35">
      <c r="B29" s="96" t="s">
        <v>126</v>
      </c>
      <c r="C29" s="107"/>
      <c r="D29" s="97">
        <v>0</v>
      </c>
      <c r="E29" s="97">
        <v>56528897</v>
      </c>
      <c r="F29" s="97">
        <v>146859840</v>
      </c>
      <c r="G29" s="122">
        <f>FA!E104*10^7</f>
        <v>281659840</v>
      </c>
    </row>
    <row r="30" spans="2:8" x14ac:dyDescent="0.35">
      <c r="B30" s="96" t="s">
        <v>127</v>
      </c>
      <c r="C30" s="107"/>
      <c r="D30" s="97"/>
      <c r="E30" s="97"/>
      <c r="F30" s="97"/>
      <c r="G30" s="122">
        <v>0</v>
      </c>
    </row>
    <row r="31" spans="2:8" x14ac:dyDescent="0.35">
      <c r="B31" s="96"/>
      <c r="C31" s="107"/>
      <c r="D31" s="97"/>
      <c r="E31" s="97"/>
      <c r="F31" s="97"/>
      <c r="G31" s="122"/>
    </row>
    <row r="32" spans="2:8" x14ac:dyDescent="0.35">
      <c r="B32" s="96" t="s">
        <v>128</v>
      </c>
      <c r="C32" s="107"/>
      <c r="D32" s="97">
        <v>2700000</v>
      </c>
      <c r="E32" s="97">
        <v>1500000</v>
      </c>
      <c r="F32" s="97">
        <v>68343102</v>
      </c>
      <c r="G32" s="122">
        <v>68343102</v>
      </c>
    </row>
    <row r="33" spans="2:7" x14ac:dyDescent="0.35">
      <c r="B33" s="96" t="s">
        <v>129</v>
      </c>
      <c r="C33" s="107"/>
      <c r="D33" s="97">
        <v>4344359.18</v>
      </c>
      <c r="E33" s="97">
        <v>5144400.18</v>
      </c>
      <c r="F33" s="97">
        <v>5920130.1799999997</v>
      </c>
      <c r="G33" s="122">
        <v>5920130.1799999997</v>
      </c>
    </row>
    <row r="34" spans="2:7" x14ac:dyDescent="0.35">
      <c r="B34" s="96" t="s">
        <v>130</v>
      </c>
      <c r="C34" s="107"/>
      <c r="D34" s="97">
        <v>25877559.460000001</v>
      </c>
      <c r="E34" s="97">
        <v>15149315.5</v>
      </c>
      <c r="F34" s="97">
        <v>53456041.5</v>
      </c>
      <c r="G34" s="97">
        <v>13649968.5</v>
      </c>
    </row>
    <row r="35" spans="2:7" x14ac:dyDescent="0.35">
      <c r="B35" s="96"/>
      <c r="C35" s="107" t="s">
        <v>131</v>
      </c>
      <c r="D35" s="100">
        <f>SUM(D28:D34)</f>
        <v>104425103.93000001</v>
      </c>
      <c r="E35" s="100">
        <f t="shared" ref="E35:G35" si="4">SUM(E28:E34)</f>
        <v>198853658.58000004</v>
      </c>
      <c r="F35" s="100">
        <f t="shared" si="4"/>
        <v>603434400.38999999</v>
      </c>
      <c r="G35" s="100">
        <f t="shared" si="4"/>
        <v>1116665234.4609544</v>
      </c>
    </row>
    <row r="36" spans="2:7" x14ac:dyDescent="0.35">
      <c r="B36" s="96" t="s">
        <v>132</v>
      </c>
      <c r="C36" s="107"/>
      <c r="D36" s="97"/>
      <c r="E36" s="97"/>
      <c r="F36" s="97"/>
      <c r="G36" s="97"/>
    </row>
    <row r="37" spans="2:7" x14ac:dyDescent="0.35">
      <c r="B37" s="96" t="s">
        <v>133</v>
      </c>
      <c r="C37" s="107"/>
      <c r="D37" s="97"/>
      <c r="E37" s="97">
        <v>6225587.0800000001</v>
      </c>
      <c r="F37" s="97">
        <v>1500034.79</v>
      </c>
      <c r="G37" s="97"/>
    </row>
    <row r="38" spans="2:7" x14ac:dyDescent="0.35">
      <c r="B38" s="96" t="s">
        <v>134</v>
      </c>
      <c r="C38" s="107"/>
      <c r="D38" s="97">
        <v>151241230.14000016</v>
      </c>
      <c r="E38" s="97">
        <v>150367028.85000005</v>
      </c>
      <c r="F38" s="97">
        <v>94158716.059999987</v>
      </c>
      <c r="G38" s="122">
        <v>57122115.420000002</v>
      </c>
    </row>
    <row r="39" spans="2:7" x14ac:dyDescent="0.35">
      <c r="B39" s="96" t="s">
        <v>135</v>
      </c>
      <c r="C39" s="107"/>
      <c r="D39" s="97">
        <v>66430950.130000003</v>
      </c>
      <c r="E39" s="97">
        <v>48925058.340000004</v>
      </c>
      <c r="F39" s="97">
        <v>36226856.629999995</v>
      </c>
      <c r="G39" s="122">
        <v>2868272764.0299997</v>
      </c>
    </row>
    <row r="40" spans="2:7" x14ac:dyDescent="0.35">
      <c r="B40" s="96" t="s">
        <v>136</v>
      </c>
      <c r="C40" s="107"/>
      <c r="D40" s="97">
        <v>2634850.2999999998</v>
      </c>
      <c r="E40" s="97">
        <v>12339970.98</v>
      </c>
      <c r="F40" s="97">
        <v>1179387.8400000001</v>
      </c>
      <c r="G40" s="122">
        <v>144900453.09999999</v>
      </c>
    </row>
    <row r="41" spans="2:7" x14ac:dyDescent="0.35">
      <c r="B41" s="96" t="s">
        <v>137</v>
      </c>
      <c r="C41" s="107"/>
      <c r="D41" s="97">
        <v>43980600.080000006</v>
      </c>
      <c r="E41" s="97">
        <v>69124472.739999995</v>
      </c>
      <c r="F41" s="97">
        <v>111153149.52000001</v>
      </c>
      <c r="G41" s="97">
        <v>70760379.589999989</v>
      </c>
    </row>
    <row r="42" spans="2:7" x14ac:dyDescent="0.35">
      <c r="B42" s="96"/>
      <c r="C42" s="107" t="s">
        <v>138</v>
      </c>
      <c r="D42" s="100">
        <f>SUM(D37:D41)</f>
        <v>264287630.65000018</v>
      </c>
      <c r="E42" s="100">
        <f>SUM(E37:E41)</f>
        <v>286982117.99000007</v>
      </c>
      <c r="F42" s="100">
        <f t="shared" ref="F42:G42" si="5">SUM(F37:F41)</f>
        <v>244218144.84</v>
      </c>
      <c r="G42" s="100">
        <f t="shared" si="5"/>
        <v>3141055712.1399999</v>
      </c>
    </row>
    <row r="43" spans="2:7" x14ac:dyDescent="0.35">
      <c r="B43" s="96"/>
      <c r="C43" s="107"/>
      <c r="D43" s="97"/>
      <c r="E43" s="97"/>
      <c r="F43" s="97"/>
      <c r="G43" s="97"/>
    </row>
    <row r="44" spans="2:7" ht="15" thickBot="1" x14ac:dyDescent="0.4">
      <c r="B44" s="102" t="s">
        <v>32</v>
      </c>
      <c r="C44" s="108" t="s">
        <v>139</v>
      </c>
      <c r="D44" s="101">
        <f>D42+D35</f>
        <v>368712734.58000016</v>
      </c>
      <c r="E44" s="101">
        <f t="shared" ref="E44:G44" si="6">E42+E35</f>
        <v>485835776.57000011</v>
      </c>
      <c r="F44" s="101">
        <f t="shared" si="6"/>
        <v>847652545.23000002</v>
      </c>
      <c r="G44" s="101">
        <f t="shared" si="6"/>
        <v>4257720946.6009541</v>
      </c>
    </row>
    <row r="45" spans="2:7" x14ac:dyDescent="0.35">
      <c r="D45" s="7">
        <f>D44-D23</f>
        <v>0</v>
      </c>
      <c r="E45" s="7">
        <f t="shared" ref="E45:G45" si="7">E44-E23</f>
        <v>2.4205446243286133E-3</v>
      </c>
      <c r="F45" s="7">
        <f t="shared" si="7"/>
        <v>-3.7579536437988281E-2</v>
      </c>
      <c r="G45" s="7">
        <f t="shared" si="7"/>
        <v>0</v>
      </c>
    </row>
    <row r="46" spans="2:7" x14ac:dyDescent="0.35">
      <c r="D46" s="7"/>
      <c r="E46" s="7"/>
      <c r="F46" s="7"/>
      <c r="G46" s="7"/>
    </row>
    <row r="47" spans="2:7" x14ac:dyDescent="0.35">
      <c r="B47" s="10" t="s">
        <v>44</v>
      </c>
      <c r="C47" s="109"/>
      <c r="D47" s="103">
        <v>43555</v>
      </c>
      <c r="E47" s="103">
        <v>43921</v>
      </c>
      <c r="F47" s="103">
        <v>44286</v>
      </c>
      <c r="G47" s="103">
        <v>44469</v>
      </c>
    </row>
    <row r="48" spans="2:7" x14ac:dyDescent="0.35">
      <c r="B48" s="96" t="s">
        <v>140</v>
      </c>
      <c r="C48" s="107"/>
      <c r="D48" s="97"/>
      <c r="E48" s="97"/>
      <c r="F48" s="97"/>
      <c r="G48" s="97"/>
    </row>
    <row r="49" spans="2:7" x14ac:dyDescent="0.35">
      <c r="B49" s="96" t="s">
        <v>283</v>
      </c>
      <c r="C49" s="107"/>
      <c r="D49" s="97">
        <v>624161006.02999997</v>
      </c>
      <c r="E49" s="97">
        <v>722612403.56000006</v>
      </c>
      <c r="F49" s="97">
        <v>719603022.65999997</v>
      </c>
      <c r="G49" s="97">
        <v>308702224.79000002</v>
      </c>
    </row>
    <row r="50" spans="2:7" x14ac:dyDescent="0.35">
      <c r="B50" s="96" t="s">
        <v>141</v>
      </c>
      <c r="C50" s="107"/>
      <c r="D50" s="97">
        <v>6772347.7400000002</v>
      </c>
      <c r="E50" s="97">
        <v>5394492.6600000001</v>
      </c>
      <c r="F50" s="97">
        <v>27272532.980000004</v>
      </c>
      <c r="G50" s="97">
        <v>4823952</v>
      </c>
    </row>
    <row r="51" spans="2:7" x14ac:dyDescent="0.35">
      <c r="B51" s="96" t="s">
        <v>142</v>
      </c>
      <c r="C51" s="107"/>
      <c r="D51" s="97"/>
      <c r="E51" s="97"/>
      <c r="F51" s="97"/>
      <c r="G51" s="97">
        <v>18662964.510000002</v>
      </c>
    </row>
    <row r="52" spans="2:7" x14ac:dyDescent="0.35">
      <c r="B52" s="96" t="s">
        <v>143</v>
      </c>
      <c r="C52" s="107" t="s">
        <v>108</v>
      </c>
      <c r="D52" s="100">
        <f t="shared" ref="D52:F52" si="8">SUM(D49:D51)</f>
        <v>630933353.76999998</v>
      </c>
      <c r="E52" s="100">
        <f t="shared" si="8"/>
        <v>728006896.22000003</v>
      </c>
      <c r="F52" s="100">
        <f t="shared" si="8"/>
        <v>746875555.63999999</v>
      </c>
      <c r="G52" s="100">
        <f>SUM(G49:G51)</f>
        <v>332189141.30000001</v>
      </c>
    </row>
    <row r="53" spans="2:7" x14ac:dyDescent="0.35">
      <c r="B53" s="96" t="s">
        <v>2</v>
      </c>
      <c r="C53" s="107"/>
      <c r="D53" s="97"/>
      <c r="E53" s="97"/>
      <c r="F53" s="97"/>
      <c r="G53" s="97"/>
    </row>
    <row r="54" spans="2:7" x14ac:dyDescent="0.35">
      <c r="B54" s="96" t="s">
        <v>144</v>
      </c>
      <c r="C54" s="107"/>
      <c r="D54" s="97">
        <v>289636684.57999998</v>
      </c>
      <c r="E54" s="97">
        <v>290514366.08000004</v>
      </c>
      <c r="F54" s="97">
        <v>117265615.78</v>
      </c>
      <c r="G54" s="97">
        <v>68165912</v>
      </c>
    </row>
    <row r="55" spans="2:7" x14ac:dyDescent="0.35">
      <c r="B55" s="96" t="s">
        <v>145</v>
      </c>
      <c r="C55" s="107"/>
      <c r="D55" s="97">
        <v>19524656</v>
      </c>
      <c r="E55" s="97">
        <v>32969761</v>
      </c>
      <c r="F55" s="97">
        <v>48113278</v>
      </c>
      <c r="G55" s="97">
        <v>33298551.16</v>
      </c>
    </row>
    <row r="56" spans="2:7" x14ac:dyDescent="0.35">
      <c r="B56" s="96" t="s">
        <v>146</v>
      </c>
      <c r="C56" s="107"/>
      <c r="D56" s="97">
        <v>28042753.400000002</v>
      </c>
      <c r="E56" s="97">
        <v>32639989.960000001</v>
      </c>
      <c r="F56" s="97">
        <v>66976005.259999998</v>
      </c>
      <c r="G56" s="97">
        <v>36744614</v>
      </c>
    </row>
    <row r="57" spans="2:7" x14ac:dyDescent="0.35">
      <c r="B57" s="96" t="s">
        <v>147</v>
      </c>
      <c r="C57" s="107"/>
      <c r="D57" s="97">
        <v>54131798.020000003</v>
      </c>
      <c r="E57" s="97">
        <v>132162033.08</v>
      </c>
      <c r="F57" s="97">
        <v>286086800.61000001</v>
      </c>
      <c r="G57" s="97">
        <v>44859891</v>
      </c>
    </row>
    <row r="58" spans="2:7" x14ac:dyDescent="0.35">
      <c r="B58" s="96" t="s">
        <v>148</v>
      </c>
      <c r="C58" s="107"/>
      <c r="D58" s="97">
        <v>90429659.570000097</v>
      </c>
      <c r="E58" s="97">
        <v>99401293.600000098</v>
      </c>
      <c r="F58" s="97">
        <v>145716650.56000006</v>
      </c>
      <c r="G58" s="97">
        <v>34762062.109999999</v>
      </c>
    </row>
    <row r="59" spans="2:7" x14ac:dyDescent="0.35">
      <c r="B59" s="96" t="s">
        <v>149</v>
      </c>
      <c r="C59" s="107"/>
      <c r="D59" s="97">
        <v>19226632.440000001</v>
      </c>
      <c r="E59" s="97">
        <v>36180987.079999998</v>
      </c>
      <c r="F59" s="97">
        <v>27722466</v>
      </c>
      <c r="G59" s="97">
        <v>7350000</v>
      </c>
    </row>
    <row r="60" spans="2:7" x14ac:dyDescent="0.35">
      <c r="B60" s="96"/>
      <c r="C60" s="107"/>
      <c r="D60" s="97"/>
      <c r="E60" s="97"/>
      <c r="F60" s="97"/>
      <c r="G60" s="97"/>
    </row>
    <row r="61" spans="2:7" x14ac:dyDescent="0.35">
      <c r="B61" s="96" t="s">
        <v>150</v>
      </c>
      <c r="C61" s="107" t="s">
        <v>114</v>
      </c>
      <c r="D61" s="100">
        <f t="shared" ref="D61:F61" si="9">SUM(D54:D59)</f>
        <v>500992184.01000005</v>
      </c>
      <c r="E61" s="100">
        <f t="shared" si="9"/>
        <v>623868430.80000019</v>
      </c>
      <c r="F61" s="100">
        <f t="shared" si="9"/>
        <v>691880816.21000004</v>
      </c>
      <c r="G61" s="100">
        <f>SUM(G54:G59)</f>
        <v>225181030.26999998</v>
      </c>
    </row>
    <row r="62" spans="2:7" x14ac:dyDescent="0.35">
      <c r="B62" s="96"/>
      <c r="C62" s="107"/>
      <c r="D62" s="97"/>
      <c r="E62" s="97"/>
      <c r="F62" s="97"/>
      <c r="G62" s="97"/>
    </row>
    <row r="63" spans="2:7" x14ac:dyDescent="0.35">
      <c r="B63" s="96" t="s">
        <v>151</v>
      </c>
      <c r="C63" s="107" t="s">
        <v>152</v>
      </c>
      <c r="D63" s="100">
        <f>D52-D61</f>
        <v>129941169.75999993</v>
      </c>
      <c r="E63" s="100">
        <f t="shared" ref="E63:G63" si="10">E52-E61</f>
        <v>104138465.41999984</v>
      </c>
      <c r="F63" s="100">
        <f t="shared" si="10"/>
        <v>54994739.429999948</v>
      </c>
      <c r="G63" s="100">
        <f t="shared" si="10"/>
        <v>107008111.03000003</v>
      </c>
    </row>
    <row r="64" spans="2:7" x14ac:dyDescent="0.35">
      <c r="B64" s="96" t="s">
        <v>153</v>
      </c>
      <c r="C64" s="107"/>
      <c r="D64" s="97">
        <v>398335.52</v>
      </c>
      <c r="E64" s="97">
        <v>474134.81</v>
      </c>
      <c r="F64" s="97">
        <v>3789765</v>
      </c>
      <c r="G64" s="97"/>
    </row>
    <row r="65" spans="2:7" x14ac:dyDescent="0.35">
      <c r="B65" s="96" t="s">
        <v>154</v>
      </c>
      <c r="C65" s="107"/>
      <c r="D65" s="97">
        <v>30184354</v>
      </c>
      <c r="E65" s="97">
        <v>21945152.432420198</v>
      </c>
      <c r="F65" s="97">
        <v>39488131.189999998</v>
      </c>
      <c r="G65" s="97">
        <f>FA!E8*10^7</f>
        <v>20411749</v>
      </c>
    </row>
    <row r="66" spans="2:7" x14ac:dyDescent="0.35">
      <c r="B66" s="96"/>
      <c r="C66" s="107"/>
      <c r="D66" s="97"/>
      <c r="E66" s="97"/>
      <c r="F66" s="97"/>
      <c r="G66" s="97"/>
    </row>
    <row r="67" spans="2:7" x14ac:dyDescent="0.35">
      <c r="B67" s="96" t="s">
        <v>155</v>
      </c>
      <c r="C67" s="107"/>
      <c r="D67" s="97"/>
      <c r="E67" s="97"/>
      <c r="F67" s="97"/>
      <c r="G67" s="97">
        <v>85079744</v>
      </c>
    </row>
    <row r="68" spans="2:7" x14ac:dyDescent="0.35">
      <c r="B68" s="96"/>
      <c r="C68" s="107"/>
      <c r="D68" s="97"/>
      <c r="E68" s="97"/>
      <c r="F68" s="97"/>
      <c r="G68" s="97"/>
    </row>
    <row r="69" spans="2:7" x14ac:dyDescent="0.35">
      <c r="B69" s="96" t="s">
        <v>150</v>
      </c>
      <c r="C69" s="107" t="s">
        <v>131</v>
      </c>
      <c r="D69" s="97">
        <f>SUM(D64:D68)</f>
        <v>30582689.52</v>
      </c>
      <c r="E69" s="97">
        <f t="shared" ref="E69:G69" si="11">SUM(E64:E68)</f>
        <v>22419287.242420197</v>
      </c>
      <c r="F69" s="97">
        <f t="shared" si="11"/>
        <v>43277896.189999998</v>
      </c>
      <c r="G69" s="97">
        <f t="shared" si="11"/>
        <v>105491493</v>
      </c>
    </row>
    <row r="70" spans="2:7" x14ac:dyDescent="0.35">
      <c r="B70" s="96" t="s">
        <v>156</v>
      </c>
      <c r="C70" s="107" t="s">
        <v>157</v>
      </c>
      <c r="D70" s="97">
        <f>D63-D69</f>
        <v>99358480.239999935</v>
      </c>
      <c r="E70" s="97">
        <f t="shared" ref="E70:G70" si="12">E63-E69</f>
        <v>81719178.177579641</v>
      </c>
      <c r="F70" s="97">
        <f t="shared" si="12"/>
        <v>11716843.23999995</v>
      </c>
      <c r="G70" s="97">
        <f t="shared" si="12"/>
        <v>1516618.030000031</v>
      </c>
    </row>
    <row r="71" spans="2:7" x14ac:dyDescent="0.35">
      <c r="B71" s="104" t="s">
        <v>158</v>
      </c>
      <c r="C71" s="107"/>
      <c r="D71" s="97"/>
      <c r="E71" s="97"/>
      <c r="F71" s="97"/>
      <c r="G71" s="97"/>
    </row>
    <row r="72" spans="2:7" x14ac:dyDescent="0.35">
      <c r="B72" s="96" t="s">
        <v>159</v>
      </c>
      <c r="C72" s="107"/>
      <c r="D72" s="97">
        <v>30574180</v>
      </c>
      <c r="E72" s="97">
        <v>20795112</v>
      </c>
      <c r="F72" s="97">
        <v>4878242</v>
      </c>
      <c r="G72" s="97">
        <v>508725</v>
      </c>
    </row>
    <row r="73" spans="2:7" x14ac:dyDescent="0.35">
      <c r="B73" s="96" t="s">
        <v>160</v>
      </c>
      <c r="C73" s="107"/>
      <c r="D73" s="97">
        <v>-5635170</v>
      </c>
      <c r="E73" s="97">
        <v>-800041</v>
      </c>
      <c r="F73" s="97">
        <v>-775730</v>
      </c>
      <c r="G73" s="97">
        <v>155749</v>
      </c>
    </row>
    <row r="74" spans="2:7" x14ac:dyDescent="0.35">
      <c r="B74" s="96" t="s">
        <v>161</v>
      </c>
      <c r="C74" s="107"/>
      <c r="D74" s="97"/>
      <c r="E74" s="97">
        <v>200619.61</v>
      </c>
      <c r="F74" s="97"/>
      <c r="G74" s="97">
        <v>0</v>
      </c>
    </row>
    <row r="75" spans="2:7" x14ac:dyDescent="0.35">
      <c r="B75" s="96"/>
      <c r="C75" s="107"/>
      <c r="D75" s="97"/>
      <c r="E75" s="97"/>
      <c r="F75" s="97"/>
      <c r="G75" s="97"/>
    </row>
    <row r="76" spans="2:7" s="1" customFormat="1" x14ac:dyDescent="0.35">
      <c r="B76" s="105" t="s">
        <v>162</v>
      </c>
      <c r="C76" s="110" t="s">
        <v>163</v>
      </c>
      <c r="D76" s="106">
        <f>D70-SUM(D72:D75)</f>
        <v>74419470.239999935</v>
      </c>
      <c r="E76" s="106">
        <f t="shared" ref="E76:G76" si="13">E70-SUM(E72:E75)</f>
        <v>61523487.567579642</v>
      </c>
      <c r="F76" s="106">
        <f t="shared" si="13"/>
        <v>7614331.2399999499</v>
      </c>
      <c r="G76" s="106">
        <f t="shared" si="13"/>
        <v>852144.03000003099</v>
      </c>
    </row>
    <row r="77" spans="2:7" x14ac:dyDescent="0.35">
      <c r="D77" s="7"/>
      <c r="E77" s="7"/>
      <c r="F77" s="7"/>
      <c r="G77" s="7"/>
    </row>
    <row r="78" spans="2:7" x14ac:dyDescent="0.35">
      <c r="D78" s="7"/>
      <c r="E78" s="7"/>
      <c r="F78" s="7"/>
      <c r="G78" s="7"/>
    </row>
    <row r="79" spans="2:7" x14ac:dyDescent="0.35">
      <c r="B79" t="s">
        <v>57</v>
      </c>
      <c r="D79" s="7"/>
      <c r="E79" s="7"/>
      <c r="F79" s="7"/>
      <c r="G79" s="7"/>
    </row>
    <row r="80" spans="2:7" x14ac:dyDescent="0.35">
      <c r="B80" t="s">
        <v>164</v>
      </c>
      <c r="D80" s="7">
        <v>18182000</v>
      </c>
      <c r="E80" s="7">
        <v>18182000</v>
      </c>
      <c r="F80" s="7">
        <v>18182000</v>
      </c>
      <c r="G80" s="7">
        <v>18182000</v>
      </c>
    </row>
    <row r="81" spans="2:7" x14ac:dyDescent="0.35">
      <c r="B81" t="s">
        <v>165</v>
      </c>
      <c r="D81" s="7">
        <v>200000</v>
      </c>
      <c r="E81" s="7">
        <v>200000</v>
      </c>
      <c r="F81" s="7">
        <v>200000</v>
      </c>
      <c r="G81" s="7">
        <v>200000</v>
      </c>
    </row>
    <row r="82" spans="2:7" x14ac:dyDescent="0.35">
      <c r="B82" t="s">
        <v>166</v>
      </c>
      <c r="D82" s="7"/>
      <c r="E82" s="7"/>
      <c r="F82" s="7"/>
      <c r="G82" s="7">
        <v>3748097072</v>
      </c>
    </row>
    <row r="83" spans="2:7" x14ac:dyDescent="0.35">
      <c r="B83" t="s">
        <v>167</v>
      </c>
      <c r="D83" s="7">
        <v>201530048.02000001</v>
      </c>
      <c r="E83" s="7">
        <f>SUM(D83:D84)</f>
        <v>275949518.25999993</v>
      </c>
      <c r="F83" s="7">
        <f>SUM(E83:E84)</f>
        <v>337473005.82757956</v>
      </c>
      <c r="G83" s="7">
        <f>SUM(F83:F84)</f>
        <v>345087337.06757951</v>
      </c>
    </row>
    <row r="84" spans="2:7" x14ac:dyDescent="0.35">
      <c r="B84" t="s">
        <v>168</v>
      </c>
      <c r="D84" s="7">
        <v>74419470.239999935</v>
      </c>
      <c r="E84" s="7">
        <v>61523487.567579642</v>
      </c>
      <c r="F84" s="7">
        <v>7614331.2399999499</v>
      </c>
      <c r="G84" s="7">
        <f>G76</f>
        <v>852144.03000003099</v>
      </c>
    </row>
    <row r="85" spans="2:7" ht="15" thickBot="1" x14ac:dyDescent="0.4">
      <c r="B85" t="s">
        <v>57</v>
      </c>
      <c r="D85" s="111">
        <f>SUM(D80:D84)</f>
        <v>294331518.25999993</v>
      </c>
      <c r="E85" s="111">
        <f t="shared" ref="E85:G85" si="14">SUM(E80:E84)</f>
        <v>355855005.82757956</v>
      </c>
      <c r="F85" s="111">
        <f t="shared" si="14"/>
        <v>363469337.06757951</v>
      </c>
      <c r="G85" s="111">
        <f t="shared" si="14"/>
        <v>4112418553.0975795</v>
      </c>
    </row>
    <row r="86" spans="2:7" ht="15" thickTop="1" x14ac:dyDescent="0.35">
      <c r="D86" s="7"/>
      <c r="E86" s="7"/>
      <c r="F86" s="7"/>
    </row>
    <row r="87" spans="2:7" x14ac:dyDescent="0.35">
      <c r="D87" s="7"/>
      <c r="E87" s="7"/>
      <c r="F87" s="7"/>
    </row>
    <row r="88" spans="2:7" x14ac:dyDescent="0.35">
      <c r="D88" s="7"/>
      <c r="E88" s="7"/>
      <c r="F88" s="7"/>
    </row>
    <row r="89" spans="2:7" x14ac:dyDescent="0.35">
      <c r="D89" s="7"/>
      <c r="E89" s="7"/>
      <c r="F89" s="7"/>
    </row>
    <row r="90" spans="2:7" x14ac:dyDescent="0.35">
      <c r="D90" s="7"/>
      <c r="E90" s="7"/>
      <c r="F90" s="7"/>
    </row>
    <row r="91" spans="2:7" x14ac:dyDescent="0.35">
      <c r="D91" s="7"/>
      <c r="E91" s="7"/>
      <c r="F91" s="7"/>
    </row>
    <row r="92" spans="2:7" x14ac:dyDescent="0.35">
      <c r="D92" s="7"/>
      <c r="E92" s="7"/>
      <c r="F92" s="7"/>
    </row>
    <row r="93" spans="2:7" x14ac:dyDescent="0.35">
      <c r="D93" s="7"/>
      <c r="E93" s="7"/>
      <c r="F93" s="7"/>
    </row>
    <row r="94" spans="2:7" x14ac:dyDescent="0.35">
      <c r="D94" s="7"/>
      <c r="E94" s="7"/>
      <c r="F94" s="7"/>
    </row>
    <row r="95" spans="2:7" x14ac:dyDescent="0.35">
      <c r="D95" s="7"/>
      <c r="E95" s="7"/>
      <c r="F95" s="7"/>
    </row>
    <row r="96" spans="2:7" x14ac:dyDescent="0.35">
      <c r="D96" s="7"/>
      <c r="E96" s="7"/>
      <c r="F96" s="7"/>
    </row>
    <row r="97" spans="4:6" x14ac:dyDescent="0.35">
      <c r="D97" s="7"/>
      <c r="E97" s="7"/>
      <c r="F97" s="7"/>
    </row>
    <row r="98" spans="4:6" x14ac:dyDescent="0.35">
      <c r="D98" s="7"/>
      <c r="E98" s="7"/>
      <c r="F98" s="7"/>
    </row>
    <row r="99" spans="4:6" x14ac:dyDescent="0.35">
      <c r="D99" s="7"/>
      <c r="E99" s="7"/>
      <c r="F99" s="7"/>
    </row>
    <row r="100" spans="4:6" x14ac:dyDescent="0.35">
      <c r="D100" s="7"/>
      <c r="E100" s="7"/>
      <c r="F100" s="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topLeftCell="B1" workbookViewId="0">
      <selection activeCell="J4" sqref="J4"/>
    </sheetView>
  </sheetViews>
  <sheetFormatPr defaultRowHeight="14.5" x14ac:dyDescent="0.35"/>
  <cols>
    <col min="1" max="1" width="24.54296875" bestFit="1" customWidth="1"/>
    <col min="9" max="9" width="24.54296875" bestFit="1" customWidth="1"/>
    <col min="10" max="10" width="12" bestFit="1" customWidth="1"/>
  </cols>
  <sheetData>
    <row r="1" spans="1:19" x14ac:dyDescent="0.35">
      <c r="A1" t="s">
        <v>68</v>
      </c>
    </row>
    <row r="2" spans="1:19" x14ac:dyDescent="0.35">
      <c r="I2" s="71" t="s">
        <v>103</v>
      </c>
      <c r="J2" s="49" t="s">
        <v>203</v>
      </c>
      <c r="K2" s="49" t="s">
        <v>204</v>
      </c>
      <c r="L2" s="49" t="s">
        <v>205</v>
      </c>
      <c r="M2" s="49" t="s">
        <v>206</v>
      </c>
      <c r="N2" s="49" t="s">
        <v>207</v>
      </c>
      <c r="O2" s="49" t="s">
        <v>208</v>
      </c>
      <c r="P2" s="49" t="s">
        <v>209</v>
      </c>
      <c r="Q2" s="49" t="s">
        <v>210</v>
      </c>
      <c r="R2" s="49" t="s">
        <v>211</v>
      </c>
      <c r="S2" s="49" t="s">
        <v>212</v>
      </c>
    </row>
    <row r="3" spans="1:19" x14ac:dyDescent="0.35">
      <c r="I3" t="s">
        <v>215</v>
      </c>
      <c r="J3" s="139">
        <f>Capex!F109*3/1000+(SUM(BA!$F$39:F39))*0.6</f>
        <v>1.8</v>
      </c>
      <c r="K3" s="139">
        <f>Capex!G109*3/1000+(SUM(BA!$F$39:G39))*0.6</f>
        <v>8.6999999999999993</v>
      </c>
      <c r="L3" s="139">
        <f>Capex!H109*3/1000+(SUM(BA!$F$39:H39))*0.6</f>
        <v>30</v>
      </c>
      <c r="M3" s="139">
        <f>Capex!I109*3/1000+(SUM(BA!$F$39:I39))*0.6</f>
        <v>48.594000000000001</v>
      </c>
      <c r="N3" s="139">
        <f>Capex!J109*3/1000+(SUM(BA!$F$39:J39))*0.6</f>
        <v>65.093999999999994</v>
      </c>
      <c r="O3" s="139">
        <f>Capex!K109*3/1000+(SUM(BA!$F$39:K39))*0.6</f>
        <v>79.494</v>
      </c>
      <c r="P3" s="139">
        <f>Capex!L109*3/1000+(SUM(BA!$F$39:L39))*0.6</f>
        <v>93.894000000000005</v>
      </c>
      <c r="Q3" s="139">
        <f>Capex!M109*3/1000+(SUM(BA!$F$39:M39))*0.6</f>
        <v>93.894000000000005</v>
      </c>
      <c r="R3" s="139">
        <f>Capex!N109*3/1000+(SUM(BA!$F$39:N39))*0.6</f>
        <v>93.894000000000005</v>
      </c>
      <c r="S3" s="139">
        <f>Capex!O109*3/1000+(SUM(BA!$F$39:O39))*0.6</f>
        <v>93.894000000000005</v>
      </c>
    </row>
    <row r="4" spans="1:19" x14ac:dyDescent="0.35">
      <c r="I4" t="s">
        <v>214</v>
      </c>
      <c r="J4" s="29" t="e">
        <f>Capex!#REF!*6/1000+Capex!F110*3/1000</f>
        <v>#REF!</v>
      </c>
      <c r="K4" s="29" t="e">
        <f>Capex!#REF!*6/1000+Capex!G110*3/1000</f>
        <v>#REF!</v>
      </c>
      <c r="L4" s="29" t="e">
        <f>Capex!#REF!*6/1000+Capex!H110*3/1000</f>
        <v>#REF!</v>
      </c>
      <c r="M4" s="29" t="e">
        <f>Capex!#REF!*6/1000+Capex!I110*3/1000</f>
        <v>#REF!</v>
      </c>
      <c r="N4" s="29" t="e">
        <f>Capex!#REF!*6/1000+Capex!J110*3/1000</f>
        <v>#REF!</v>
      </c>
      <c r="O4" s="29" t="e">
        <f>Capex!#REF!*6/1000+Capex!K110*3/1000</f>
        <v>#REF!</v>
      </c>
      <c r="P4" s="29" t="e">
        <f>Capex!#REF!*6/1000+Capex!L110*3/1000</f>
        <v>#REF!</v>
      </c>
      <c r="Q4" s="29" t="e">
        <f>Capex!#REF!*6/1000+Capex!M110*3/1000</f>
        <v>#REF!</v>
      </c>
      <c r="R4" s="29" t="e">
        <f>Capex!#REF!*6/1000+Capex!N110*3/1000</f>
        <v>#REF!</v>
      </c>
      <c r="S4" s="29" t="e">
        <f>Capex!#REF!*6/1000+Capex!O110*3/1000</f>
        <v>#REF!</v>
      </c>
    </row>
    <row r="5" spans="1:19" x14ac:dyDescent="0.35">
      <c r="I5" t="s">
        <v>216</v>
      </c>
      <c r="J5" s="7" t="e">
        <f>'P&amp;L'!#REF!+'P&amp;L'!E10</f>
        <v>#REF!</v>
      </c>
      <c r="K5" s="7" t="e">
        <f>'P&amp;L'!#REF!+'P&amp;L'!F10</f>
        <v>#REF!</v>
      </c>
      <c r="L5" s="7" t="e">
        <f>'P&amp;L'!#REF!+'P&amp;L'!G10</f>
        <v>#REF!</v>
      </c>
      <c r="M5" s="7" t="e">
        <f>'P&amp;L'!#REF!+'P&amp;L'!H10</f>
        <v>#REF!</v>
      </c>
      <c r="N5" s="7" t="e">
        <f>'P&amp;L'!#REF!+'P&amp;L'!I10</f>
        <v>#REF!</v>
      </c>
      <c r="O5" s="7" t="e">
        <f>'P&amp;L'!#REF!+'P&amp;L'!J10</f>
        <v>#REF!</v>
      </c>
      <c r="P5" s="7" t="e">
        <f>'P&amp;L'!#REF!+'P&amp;L'!K10</f>
        <v>#REF!</v>
      </c>
      <c r="Q5" s="7" t="e">
        <f>'P&amp;L'!#REF!+'P&amp;L'!L10</f>
        <v>#REF!</v>
      </c>
      <c r="R5" s="7" t="e">
        <f>'P&amp;L'!#REF!+'P&amp;L'!M10</f>
        <v>#REF!</v>
      </c>
      <c r="S5" s="7" t="e">
        <f>'P&amp;L'!#REF!+'P&amp;L'!N10</f>
        <v>#REF!</v>
      </c>
    </row>
    <row r="6" spans="1:19" x14ac:dyDescent="0.35">
      <c r="I6" t="s">
        <v>219</v>
      </c>
      <c r="J6" s="8" t="e">
        <f>J5+'P&amp;L'!#REF!</f>
        <v>#REF!</v>
      </c>
      <c r="K6" s="8" t="e">
        <f>K5+'P&amp;L'!#REF!</f>
        <v>#REF!</v>
      </c>
      <c r="L6" s="8" t="e">
        <f>L5+'P&amp;L'!#REF!</f>
        <v>#REF!</v>
      </c>
      <c r="M6" s="8" t="e">
        <f>M5+'P&amp;L'!#REF!</f>
        <v>#REF!</v>
      </c>
      <c r="N6" s="8" t="e">
        <f>N5+'P&amp;L'!#REF!</f>
        <v>#REF!</v>
      </c>
      <c r="O6" s="8" t="e">
        <f>O5+'P&amp;L'!#REF!</f>
        <v>#REF!</v>
      </c>
      <c r="P6" s="8" t="e">
        <f>P5+'P&amp;L'!#REF!</f>
        <v>#REF!</v>
      </c>
      <c r="Q6" s="8" t="e">
        <f>Q5+'P&amp;L'!#REF!</f>
        <v>#REF!</v>
      </c>
      <c r="R6" s="8" t="e">
        <f>R5+'P&amp;L'!#REF!</f>
        <v>#REF!</v>
      </c>
      <c r="S6" s="8" t="e">
        <f>S5+'P&amp;L'!#REF!</f>
        <v>#REF!</v>
      </c>
    </row>
    <row r="7" spans="1:19" x14ac:dyDescent="0.35">
      <c r="I7" t="s">
        <v>218</v>
      </c>
      <c r="J7" s="7" t="e">
        <f>('P&amp;L'!E23+'P&amp;L'!#REF!+'P&amp;L'!#REF!)</f>
        <v>#REF!</v>
      </c>
      <c r="K7" s="7" t="e">
        <f>('P&amp;L'!F23+'P&amp;L'!#REF!+'P&amp;L'!#REF!)</f>
        <v>#REF!</v>
      </c>
      <c r="L7" s="7" t="e">
        <f>('P&amp;L'!G23+'P&amp;L'!#REF!+'P&amp;L'!#REF!)</f>
        <v>#REF!</v>
      </c>
      <c r="M7" s="7" t="e">
        <f>('P&amp;L'!H23+'P&amp;L'!#REF!+'P&amp;L'!#REF!)</f>
        <v>#REF!</v>
      </c>
      <c r="N7" s="7" t="e">
        <f>('P&amp;L'!I23+'P&amp;L'!#REF!+'P&amp;L'!#REF!)</f>
        <v>#REF!</v>
      </c>
      <c r="O7" s="7" t="e">
        <f>('P&amp;L'!J23+'P&amp;L'!#REF!+'P&amp;L'!#REF!)</f>
        <v>#REF!</v>
      </c>
      <c r="P7" s="7" t="e">
        <f>('P&amp;L'!K23+'P&amp;L'!#REF!+'P&amp;L'!#REF!)</f>
        <v>#REF!</v>
      </c>
      <c r="Q7" s="7" t="e">
        <f>('P&amp;L'!L23+'P&amp;L'!#REF!+'P&amp;L'!#REF!)</f>
        <v>#REF!</v>
      </c>
      <c r="R7" s="7" t="e">
        <f>('P&amp;L'!M23+'P&amp;L'!#REF!+'P&amp;L'!#REF!)</f>
        <v>#REF!</v>
      </c>
      <c r="S7" s="7" t="e">
        <f>('P&amp;L'!N23+'P&amp;L'!#REF!+'P&amp;L'!#REF!)</f>
        <v>#REF!</v>
      </c>
    </row>
    <row r="8" spans="1:19" x14ac:dyDescent="0.35">
      <c r="I8" t="s">
        <v>220</v>
      </c>
      <c r="J8" s="8" t="e">
        <f>J6-J7</f>
        <v>#REF!</v>
      </c>
      <c r="K8" s="8" t="e">
        <f t="shared" ref="K8:S8" si="0">K6-K7</f>
        <v>#REF!</v>
      </c>
      <c r="L8" s="8" t="e">
        <f t="shared" si="0"/>
        <v>#REF!</v>
      </c>
      <c r="M8" s="8" t="e">
        <f t="shared" si="0"/>
        <v>#REF!</v>
      </c>
      <c r="N8" s="8" t="e">
        <f t="shared" si="0"/>
        <v>#REF!</v>
      </c>
      <c r="O8" s="8" t="e">
        <f t="shared" si="0"/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8" t="e">
        <f t="shared" si="0"/>
        <v>#REF!</v>
      </c>
    </row>
    <row r="9" spans="1:19" x14ac:dyDescent="0.35">
      <c r="I9" t="s">
        <v>226</v>
      </c>
    </row>
    <row r="10" spans="1:19" x14ac:dyDescent="0.35">
      <c r="I10" t="s">
        <v>202</v>
      </c>
      <c r="J10" s="3">
        <f>DSCR!D10</f>
        <v>4.6393083588235315</v>
      </c>
      <c r="K10" s="3">
        <f>DSCR!E10</f>
        <v>1.6695392288060682</v>
      </c>
      <c r="L10" s="3">
        <f>DSCR!F10</f>
        <v>2.304919181327298</v>
      </c>
      <c r="M10" s="3">
        <f>DSCR!G10</f>
        <v>2.4327082460382847</v>
      </c>
      <c r="N10" s="3">
        <f>DSCR!H10</f>
        <v>2.5460747657136666</v>
      </c>
      <c r="O10" s="3">
        <f>DSCR!I10</f>
        <v>2.0455735883561919</v>
      </c>
      <c r="P10" s="3">
        <f>DSCR!J10</f>
        <v>1.7196428152912406</v>
      </c>
      <c r="Q10" s="3">
        <f>DSCR!K10</f>
        <v>1.199407867683044</v>
      </c>
      <c r="R10" s="3">
        <f>DSCR!L10</f>
        <v>1.7546852439021152</v>
      </c>
      <c r="S10" s="3">
        <f>DSCR!M10</f>
        <v>0</v>
      </c>
    </row>
    <row r="11" spans="1:19" x14ac:dyDescent="0.35">
      <c r="I11" t="s">
        <v>225</v>
      </c>
      <c r="J11" s="3">
        <f>DSCR!D18</f>
        <v>0</v>
      </c>
      <c r="K11" s="3">
        <f>DSCR!E18</f>
        <v>0.24201181190741664</v>
      </c>
      <c r="L11" s="3">
        <f>DSCR!F18</f>
        <v>0.28669834102026143</v>
      </c>
      <c r="M11" s="3">
        <f>DSCR!G18</f>
        <v>0.49304721174215876</v>
      </c>
      <c r="N11" s="3">
        <f>DSCR!H18</f>
        <v>0.76633799619808729</v>
      </c>
      <c r="O11" s="3">
        <f>DSCR!I18</f>
        <v>0.82337987655677403</v>
      </c>
      <c r="P11" s="3">
        <f>DSCR!J18</f>
        <v>0.77453870373596168</v>
      </c>
      <c r="Q11" s="3">
        <f>DSCR!K18</f>
        <v>0.56853121504571447</v>
      </c>
      <c r="R11" s="3">
        <f>DSCR!L18</f>
        <v>0.20342650427947895</v>
      </c>
      <c r="S11" s="3">
        <f>DSCR!M18</f>
        <v>0</v>
      </c>
    </row>
    <row r="13" spans="1:19" x14ac:dyDescent="0.35">
      <c r="J13" s="9" t="e">
        <f>J5/6/J4/1000/75*10^7</f>
        <v>#REF!</v>
      </c>
      <c r="K13" s="9" t="e">
        <f t="shared" ref="K13:S13" si="1">K5/12/K4/1000/75*10^7</f>
        <v>#REF!</v>
      </c>
      <c r="L13" s="9" t="e">
        <f t="shared" si="1"/>
        <v>#REF!</v>
      </c>
      <c r="M13" s="9" t="e">
        <f t="shared" si="1"/>
        <v>#REF!</v>
      </c>
      <c r="N13" s="9" t="e">
        <f t="shared" si="1"/>
        <v>#REF!</v>
      </c>
      <c r="O13" s="9" t="e">
        <f t="shared" si="1"/>
        <v>#REF!</v>
      </c>
      <c r="P13" s="9" t="e">
        <f t="shared" si="1"/>
        <v>#REF!</v>
      </c>
      <c r="Q13" s="9" t="e">
        <f t="shared" si="1"/>
        <v>#REF!</v>
      </c>
      <c r="R13" s="9" t="e">
        <f t="shared" si="1"/>
        <v>#REF!</v>
      </c>
      <c r="S13" s="9" t="e">
        <f t="shared" si="1"/>
        <v>#REF!</v>
      </c>
    </row>
    <row r="15" spans="1:19" x14ac:dyDescent="0.35">
      <c r="J15" s="3" t="e">
        <f>Capex!#REF!*6/1000</f>
        <v>#REF!</v>
      </c>
      <c r="K15" s="3" t="e">
        <f>AVERAGE(Capex!#REF!:Capex!#REF!)*6/1000</f>
        <v>#REF!</v>
      </c>
      <c r="L15" s="3" t="e">
        <f>AVERAGE(Capex!#REF!:Capex!#REF!)*6/1000</f>
        <v>#REF!</v>
      </c>
      <c r="M15" s="3" t="e">
        <f>AVERAGE(Capex!#REF!:Capex!#REF!)*6/1000</f>
        <v>#REF!</v>
      </c>
      <c r="N15" s="3" t="e">
        <f>AVERAGE(Capex!#REF!:Capex!#REF!)*6/1000</f>
        <v>#REF!</v>
      </c>
      <c r="O15" s="3" t="e">
        <f>AVERAGE(Capex!#REF!:Capex!#REF!)*6/1000</f>
        <v>#REF!</v>
      </c>
      <c r="P15" s="3" t="e">
        <f>AVERAGE(Capex!#REF!:Capex!#REF!)*6/1000</f>
        <v>#REF!</v>
      </c>
      <c r="Q15" s="3" t="e">
        <f>AVERAGE(Capex!#REF!:Capex!#REF!)*6/1000</f>
        <v>#REF!</v>
      </c>
      <c r="R15" s="3" t="e">
        <f>AVERAGE(Capex!#REF!:Capex!#REF!)*6/1000</f>
        <v>#REF!</v>
      </c>
      <c r="S15" s="3" t="e">
        <f>AVERAGE(Capex!#REF!:Capex!#REF!)*6/1000</f>
        <v>#REF!</v>
      </c>
    </row>
    <row r="16" spans="1:19" x14ac:dyDescent="0.35">
      <c r="J16" s="3">
        <f>AVERAGE(Capex!E110:'Capex'!F110)*3/1000</f>
        <v>0.96750000000000003</v>
      </c>
      <c r="K16" s="3">
        <f>AVERAGE(Capex!F110:'Capex'!G110)*3/1000</f>
        <v>1.44</v>
      </c>
      <c r="L16" s="3">
        <f>AVERAGE(Capex!G110:'Capex'!H110)*3/1000</f>
        <v>2.16</v>
      </c>
      <c r="M16" s="3">
        <f>AVERAGE(Capex!H110:'Capex'!I110)*3/1000</f>
        <v>2.97</v>
      </c>
      <c r="N16" s="3">
        <f>AVERAGE(Capex!I110:'Capex'!J110)*3/1000</f>
        <v>3.8069999999999999</v>
      </c>
      <c r="O16" s="3">
        <f>AVERAGE(Capex!J110:'Capex'!K110)*3/1000</f>
        <v>4.194</v>
      </c>
      <c r="P16" s="3">
        <f>AVERAGE(Capex!K110:'Capex'!L110)*3/1000</f>
        <v>4.194</v>
      </c>
      <c r="Q16" s="3">
        <f>AVERAGE(Capex!L110:'Capex'!M110)*3/1000</f>
        <v>4.194</v>
      </c>
      <c r="R16" s="3">
        <f>AVERAGE(Capex!M110:'Capex'!N110)*3/1000</f>
        <v>4.194</v>
      </c>
      <c r="S16" s="3">
        <f>AVERAGE(Capex!N110:'Capex'!O110)*3/1000</f>
        <v>4.194</v>
      </c>
    </row>
    <row r="17" spans="10:19" x14ac:dyDescent="0.35">
      <c r="J17" s="20" t="e">
        <f>SUM(J15:J16)</f>
        <v>#REF!</v>
      </c>
      <c r="K17" s="20" t="e">
        <f t="shared" ref="K17:S17" si="2">SUM(K15:K16)</f>
        <v>#REF!</v>
      </c>
      <c r="L17" s="20" t="e">
        <f t="shared" si="2"/>
        <v>#REF!</v>
      </c>
      <c r="M17" s="20" t="e">
        <f t="shared" si="2"/>
        <v>#REF!</v>
      </c>
      <c r="N17" s="20" t="e">
        <f t="shared" si="2"/>
        <v>#REF!</v>
      </c>
      <c r="O17" s="20" t="e">
        <f t="shared" si="2"/>
        <v>#REF!</v>
      </c>
      <c r="P17" s="20" t="e">
        <f t="shared" si="2"/>
        <v>#REF!</v>
      </c>
      <c r="Q17" s="20" t="e">
        <f t="shared" si="2"/>
        <v>#REF!</v>
      </c>
      <c r="R17" s="20" t="e">
        <f t="shared" si="2"/>
        <v>#REF!</v>
      </c>
      <c r="S17" s="20" t="e">
        <f t="shared" si="2"/>
        <v>#REF!</v>
      </c>
    </row>
    <row r="18" spans="10:19" x14ac:dyDescent="0.35">
      <c r="J18" s="3" t="e">
        <f>J5/J17/6/1000/75*10^7</f>
        <v>#REF!</v>
      </c>
      <c r="K18" s="3" t="e">
        <f>K5/K17/12/1000/75*10^7</f>
        <v>#REF!</v>
      </c>
      <c r="L18" s="3" t="e">
        <f t="shared" ref="L18:S18" si="3">L5/L17/12/1000/75*10^7</f>
        <v>#REF!</v>
      </c>
      <c r="M18" s="3" t="e">
        <f t="shared" si="3"/>
        <v>#REF!</v>
      </c>
      <c r="N18" s="3" t="e">
        <f t="shared" si="3"/>
        <v>#REF!</v>
      </c>
      <c r="O18" s="3" t="e">
        <f t="shared" si="3"/>
        <v>#REF!</v>
      </c>
      <c r="P18" s="3" t="e">
        <f t="shared" si="3"/>
        <v>#REF!</v>
      </c>
      <c r="Q18" s="3" t="e">
        <f t="shared" si="3"/>
        <v>#REF!</v>
      </c>
      <c r="R18" s="3" t="e">
        <f t="shared" si="3"/>
        <v>#REF!</v>
      </c>
      <c r="S18" s="3" t="e">
        <f t="shared" si="3"/>
        <v>#REF!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K10"/>
  <sheetViews>
    <sheetView workbookViewId="0">
      <selection sqref="A1:C4"/>
    </sheetView>
  </sheetViews>
  <sheetFormatPr defaultRowHeight="14.5" x14ac:dyDescent="0.35"/>
  <cols>
    <col min="1" max="1" width="25" bestFit="1" customWidth="1"/>
    <col min="12" max="12" width="10.453125" bestFit="1" customWidth="1"/>
  </cols>
  <sheetData>
    <row r="2" spans="5:11" x14ac:dyDescent="0.35">
      <c r="K2" s="3"/>
    </row>
    <row r="3" spans="5:11" x14ac:dyDescent="0.35">
      <c r="E3" s="9"/>
      <c r="J3" s="9"/>
      <c r="K3" s="3"/>
    </row>
    <row r="4" spans="5:11" x14ac:dyDescent="0.35">
      <c r="J4" s="9"/>
      <c r="K4" s="76"/>
    </row>
    <row r="5" spans="5:11" x14ac:dyDescent="0.35">
      <c r="J5" s="9"/>
      <c r="K5" s="76"/>
    </row>
    <row r="6" spans="5:11" x14ac:dyDescent="0.35">
      <c r="K6" s="76"/>
    </row>
    <row r="7" spans="5:11" x14ac:dyDescent="0.35">
      <c r="K7" s="76"/>
    </row>
    <row r="8" spans="5:11" x14ac:dyDescent="0.35">
      <c r="K8" s="76"/>
    </row>
    <row r="9" spans="5:11" x14ac:dyDescent="0.35">
      <c r="E9" s="28"/>
      <c r="K9" s="76"/>
    </row>
    <row r="10" spans="5:11" x14ac:dyDescent="0.35">
      <c r="K10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Balance Sheet</vt:lpstr>
      <vt:lpstr>Cash Flow</vt:lpstr>
      <vt:lpstr>P&amp;L</vt:lpstr>
      <vt:lpstr>FA</vt:lpstr>
      <vt:lpstr>Capex</vt:lpstr>
      <vt:lpstr>Input</vt:lpstr>
      <vt:lpstr>BA</vt:lpstr>
      <vt:lpstr>DSCR</vt:lpstr>
      <vt:lpstr>Historical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2021-10-29T17:12:35Z</cp:lastPrinted>
  <dcterms:created xsi:type="dcterms:W3CDTF">2021-09-23T17:26:37Z</dcterms:created>
  <dcterms:modified xsi:type="dcterms:W3CDTF">2022-01-06T12:16:06Z</dcterms:modified>
</cp:coreProperties>
</file>