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Gaurav Kumar\EV\Chapra hazipur highway enterprise valuation\Old references\SEW Krishnagar Bharampore Highways\Working\"/>
    </mc:Choice>
  </mc:AlternateContent>
  <bookViews>
    <workbookView xWindow="0" yWindow="0" windowWidth="24000" windowHeight="9735" activeTab="4"/>
  </bookViews>
  <sheets>
    <sheet name="Dash Board" sheetId="8" r:id="rId1"/>
    <sheet name="DCF" sheetId="2" r:id="rId2"/>
    <sheet name="Projections" sheetId="5" r:id="rId3"/>
    <sheet name="Operational Revenue" sheetId="9" r:id="rId4"/>
    <sheet name="WACC" sheetId="6" r:id="rId5"/>
    <sheet name="Loan Schedule &amp; WC" sheetId="3" r:id="rId6"/>
    <sheet name="Depriciation" sheetId="7" r:id="rId7"/>
  </sheets>
  <definedNames>
    <definedName name="LTGR">DCF!#REF!</definedName>
    <definedName name="WACC">DCF!$D$21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L10" i="6"/>
  <c r="D27" i="9" l="1"/>
  <c r="D28" i="9" s="1"/>
  <c r="D29" i="9" s="1"/>
  <c r="E20" i="9" s="1"/>
  <c r="K13" i="2"/>
  <c r="J13" i="2"/>
  <c r="I13" i="2"/>
  <c r="H13" i="2"/>
  <c r="G13" i="2"/>
  <c r="F13" i="2"/>
  <c r="E13" i="2"/>
  <c r="K20" i="9"/>
  <c r="D20" i="9" s="1"/>
  <c r="C18" i="9"/>
  <c r="K26" i="9"/>
  <c r="K22" i="9" l="1"/>
  <c r="E14" i="2"/>
  <c r="N10" i="5" l="1"/>
  <c r="K12" i="5"/>
  <c r="L12" i="5"/>
  <c r="M12" i="5"/>
  <c r="N12" i="5"/>
  <c r="O12" i="5"/>
  <c r="P12" i="5"/>
  <c r="Q12" i="5"/>
  <c r="K14" i="5"/>
  <c r="L14" i="5" s="1"/>
  <c r="M14" i="5" s="1"/>
  <c r="N14" i="5" s="1"/>
  <c r="O14" i="5" s="1"/>
  <c r="P14" i="5" s="1"/>
  <c r="Q14" i="5" s="1"/>
  <c r="K17" i="5"/>
  <c r="L17" i="5" s="1"/>
  <c r="K32" i="5"/>
  <c r="K29" i="5"/>
  <c r="L29" i="5"/>
  <c r="L11" i="5" s="1"/>
  <c r="I17" i="6"/>
  <c r="I16" i="6"/>
  <c r="K33" i="5" l="1"/>
  <c r="K34" i="5" s="1"/>
  <c r="M11" i="5" s="1"/>
  <c r="N11" i="5" s="1"/>
  <c r="O11" i="5" s="1"/>
  <c r="M17" i="5"/>
  <c r="K23" i="9"/>
  <c r="K24" i="9"/>
  <c r="C22" i="9"/>
  <c r="K8" i="5" s="1"/>
  <c r="K13" i="5" l="1"/>
  <c r="K15" i="5" s="1"/>
  <c r="P11" i="5"/>
  <c r="N17" i="5"/>
  <c r="K19" i="5" l="1"/>
  <c r="E6" i="2"/>
  <c r="E11" i="2" s="1"/>
  <c r="E15" i="2" s="1"/>
  <c r="Q11" i="5"/>
  <c r="C9" i="9"/>
  <c r="E8" i="2"/>
  <c r="B25" i="5"/>
  <c r="K8" i="2"/>
  <c r="N18" i="7"/>
  <c r="N19" i="7" s="1"/>
  <c r="N20" i="7" s="1"/>
  <c r="N21" i="7" s="1"/>
  <c r="N22" i="7" s="1"/>
  <c r="N23" i="7" s="1"/>
  <c r="N24" i="7" s="1"/>
  <c r="N14" i="7"/>
  <c r="M18" i="7"/>
  <c r="O18" i="7" l="1"/>
  <c r="Q18" i="7" l="1"/>
  <c r="M19" i="7" s="1"/>
  <c r="O19" i="7"/>
  <c r="O20" i="7" s="1"/>
  <c r="O21" i="7" s="1"/>
  <c r="O22" i="7" s="1"/>
  <c r="O23" i="7" s="1"/>
  <c r="O24" i="7" s="1"/>
  <c r="P18" i="7"/>
  <c r="Q19" i="7" l="1"/>
  <c r="M20" i="7" s="1"/>
  <c r="Q20" i="7" s="1"/>
  <c r="M21" i="7" s="1"/>
  <c r="Q21" i="7" s="1"/>
  <c r="M22" i="7" s="1"/>
  <c r="Q22" i="7" s="1"/>
  <c r="M23" i="7" s="1"/>
  <c r="Q23" i="7" s="1"/>
  <c r="M24" i="7" s="1"/>
  <c r="Q24" i="7" s="1"/>
  <c r="P19" i="7"/>
  <c r="P20" i="7" s="1"/>
  <c r="P21" i="7" s="1"/>
  <c r="P22" i="7" s="1"/>
  <c r="P23" i="7" s="1"/>
  <c r="P24" i="7" s="1"/>
  <c r="G14" i="7"/>
  <c r="B10" i="8"/>
  <c r="B9" i="8"/>
  <c r="B8" i="8"/>
  <c r="E14" i="7"/>
  <c r="F18" i="7" s="1"/>
  <c r="G18" i="7" s="1"/>
  <c r="I18" i="7" l="1"/>
  <c r="E19" i="7" s="1"/>
  <c r="G19" i="7"/>
  <c r="G20" i="7" s="1"/>
  <c r="G21" i="7" s="1"/>
  <c r="G22" i="7" s="1"/>
  <c r="G23" i="7" s="1"/>
  <c r="G24" i="7" s="1"/>
  <c r="F8" i="2"/>
  <c r="F19" i="7"/>
  <c r="F20" i="7" s="1"/>
  <c r="F21" i="7" s="1"/>
  <c r="F22" i="7" s="1"/>
  <c r="F23" i="7" s="1"/>
  <c r="F24" i="7" s="1"/>
  <c r="H18" i="7"/>
  <c r="G8" i="2" l="1"/>
  <c r="H19" i="7"/>
  <c r="I19" i="7"/>
  <c r="E20" i="7" s="1"/>
  <c r="E7" i="7"/>
  <c r="E11" i="7" s="1"/>
  <c r="E5" i="7"/>
  <c r="E4" i="7"/>
  <c r="E10" i="7" s="1"/>
  <c r="F4" i="7"/>
  <c r="H20" i="7" l="1"/>
  <c r="F7" i="7"/>
  <c r="G4" i="7"/>
  <c r="H8" i="2" l="1"/>
  <c r="O17" i="5"/>
  <c r="P17" i="5" s="1"/>
  <c r="I20" i="7"/>
  <c r="E21" i="7" s="1"/>
  <c r="F9" i="7"/>
  <c r="F10" i="7" s="1"/>
  <c r="F11" i="7"/>
  <c r="G7" i="7" s="1"/>
  <c r="G11" i="7" s="1"/>
  <c r="H4" i="7"/>
  <c r="G8" i="7"/>
  <c r="I8" i="2" l="1"/>
  <c r="H7" i="7"/>
  <c r="J8" i="2"/>
  <c r="H21" i="7"/>
  <c r="H11" i="7"/>
  <c r="G9" i="7"/>
  <c r="G10" i="7" s="1"/>
  <c r="I4" i="7"/>
  <c r="H9" i="7" l="1"/>
  <c r="H10" i="7" s="1"/>
  <c r="I21" i="7"/>
  <c r="E22" i="7" s="1"/>
  <c r="I7" i="7"/>
  <c r="I11" i="7" s="1"/>
  <c r="J4" i="7"/>
  <c r="J7" i="7" l="1"/>
  <c r="J11" i="7" s="1"/>
  <c r="H22" i="7"/>
  <c r="I9" i="7"/>
  <c r="I10" i="7" s="1"/>
  <c r="K4" i="7"/>
  <c r="K7" i="7" l="1"/>
  <c r="K11" i="7" s="1"/>
  <c r="I22" i="7"/>
  <c r="E23" i="7" s="1"/>
  <c r="J9" i="7"/>
  <c r="J10" i="7" s="1"/>
  <c r="K6" i="7"/>
  <c r="I23" i="7" l="1"/>
  <c r="E24" i="7" s="1"/>
  <c r="H23" i="7"/>
  <c r="K8" i="7"/>
  <c r="K9" i="7" s="1"/>
  <c r="K10" i="7" s="1"/>
  <c r="H24" i="7" l="1"/>
  <c r="I24" i="7"/>
  <c r="F14" i="2"/>
  <c r="G14" i="2"/>
  <c r="H14" i="2"/>
  <c r="I14" i="2"/>
  <c r="J14" i="2"/>
  <c r="K14" i="2"/>
  <c r="D9" i="6" l="1"/>
  <c r="D8" i="6"/>
  <c r="D6" i="6"/>
  <c r="D5" i="6"/>
  <c r="G18" i="6"/>
  <c r="F17" i="6"/>
  <c r="F16" i="6"/>
  <c r="E17" i="6"/>
  <c r="D17" i="6"/>
  <c r="E16" i="6"/>
  <c r="D16" i="6"/>
  <c r="H30" i="3"/>
  <c r="I30" i="3"/>
  <c r="J30" i="3"/>
  <c r="K30" i="3"/>
  <c r="L30" i="3"/>
  <c r="M30" i="3"/>
  <c r="N30" i="3"/>
  <c r="O30" i="3"/>
  <c r="H28" i="3"/>
  <c r="I28" i="3"/>
  <c r="J28" i="3"/>
  <c r="K28" i="3"/>
  <c r="L28" i="3"/>
  <c r="M28" i="3"/>
  <c r="N28" i="3"/>
  <c r="O28" i="3"/>
  <c r="I26" i="3"/>
  <c r="K26" i="3" s="1"/>
  <c r="J26" i="3"/>
  <c r="H26" i="3"/>
  <c r="O24" i="3"/>
  <c r="I24" i="3"/>
  <c r="K24" i="3" s="1"/>
  <c r="J24" i="3"/>
  <c r="H24" i="3"/>
  <c r="I19" i="6" l="1"/>
  <c r="F18" i="6"/>
  <c r="E18" i="6"/>
  <c r="D18" i="6"/>
  <c r="L26" i="3"/>
  <c r="M26" i="3" s="1"/>
  <c r="L24" i="3"/>
  <c r="M24" i="3" s="1"/>
  <c r="G30" i="3"/>
  <c r="E30" i="3"/>
  <c r="F30" i="3"/>
  <c r="D30" i="3"/>
  <c r="D28" i="3"/>
  <c r="E28" i="3"/>
  <c r="F28" i="3"/>
  <c r="G28" i="3"/>
  <c r="C28" i="3"/>
  <c r="G26" i="3"/>
  <c r="G24" i="3"/>
  <c r="H18" i="6" l="1"/>
  <c r="N26" i="3"/>
  <c r="O26" i="3" s="1"/>
  <c r="N24" i="3"/>
  <c r="F26" i="3"/>
  <c r="F24" i="3"/>
  <c r="E26" i="3"/>
  <c r="D26" i="3"/>
  <c r="E24" i="3"/>
  <c r="D24" i="3"/>
  <c r="K6" i="6" l="1"/>
  <c r="L6" i="6" s="1"/>
  <c r="K7" i="6"/>
  <c r="L7" i="6" s="1"/>
  <c r="K8" i="6"/>
  <c r="L8" i="6" s="1"/>
  <c r="K9" i="6"/>
  <c r="L9" i="6" s="1"/>
  <c r="K5" i="6"/>
  <c r="L5" i="6" s="1"/>
  <c r="D21" i="6" s="1"/>
  <c r="B22" i="5"/>
  <c r="B23" i="5"/>
  <c r="B20" i="5"/>
  <c r="B8" i="5"/>
  <c r="B9" i="5" s="1"/>
  <c r="B3" i="5"/>
  <c r="I18" i="9" l="1"/>
  <c r="H18" i="9"/>
  <c r="E18" i="9"/>
  <c r="E22" i="9" s="1"/>
  <c r="M8" i="5" s="1"/>
  <c r="D18" i="9"/>
  <c r="D22" i="9" s="1"/>
  <c r="L8" i="5" s="1"/>
  <c r="F18" i="9"/>
  <c r="F22" i="9" s="1"/>
  <c r="N8" i="5" s="1"/>
  <c r="G18" i="9"/>
  <c r="G22" i="9" s="1"/>
  <c r="O8" i="5" s="1"/>
  <c r="I22" i="9"/>
  <c r="Q8" i="5" s="1"/>
  <c r="H22" i="9"/>
  <c r="P8" i="5" s="1"/>
  <c r="F8" i="5"/>
  <c r="I6" i="9"/>
  <c r="G6" i="9"/>
  <c r="D6" i="9"/>
  <c r="H6" i="9"/>
  <c r="E6" i="9"/>
  <c r="C6" i="9"/>
  <c r="F6" i="9"/>
  <c r="B24" i="5"/>
  <c r="E8" i="5"/>
  <c r="I8" i="5"/>
  <c r="H8" i="5"/>
  <c r="G8" i="5"/>
  <c r="J8" i="5"/>
  <c r="D25" i="6"/>
  <c r="D23" i="6" s="1"/>
  <c r="D4" i="3"/>
  <c r="D3" i="3"/>
  <c r="C12" i="3" s="1"/>
  <c r="E12" i="3" s="1"/>
  <c r="K21" i="5" s="1"/>
  <c r="Q13" i="5" l="1"/>
  <c r="Q15" i="5" s="1"/>
  <c r="K6" i="2" s="1"/>
  <c r="K11" i="2" s="1"/>
  <c r="K15" i="2" s="1"/>
  <c r="P13" i="5"/>
  <c r="P15" i="5" s="1"/>
  <c r="J6" i="2" s="1"/>
  <c r="J11" i="2" s="1"/>
  <c r="J15" i="2" s="1"/>
  <c r="N13" i="5"/>
  <c r="N15" i="5" s="1"/>
  <c r="H6" i="2" s="1"/>
  <c r="H11" i="2" s="1"/>
  <c r="H15" i="2" s="1"/>
  <c r="L13" i="5"/>
  <c r="L15" i="5" s="1"/>
  <c r="F6" i="2" s="1"/>
  <c r="F11" i="2" s="1"/>
  <c r="F15" i="2" s="1"/>
  <c r="M13" i="5"/>
  <c r="M15" i="5" s="1"/>
  <c r="O13" i="5"/>
  <c r="O15" i="5" s="1"/>
  <c r="I6" i="2" s="1"/>
  <c r="I11" i="2" s="1"/>
  <c r="I15" i="2" s="1"/>
  <c r="D28" i="6"/>
  <c r="D30" i="6" s="1"/>
  <c r="B11" i="8"/>
  <c r="E9" i="9"/>
  <c r="D9" i="9"/>
  <c r="G9" i="9"/>
  <c r="F9" i="9"/>
  <c r="I9" i="9"/>
  <c r="E3" i="9"/>
  <c r="B26" i="5"/>
  <c r="H9" i="9"/>
  <c r="D6" i="3"/>
  <c r="D7" i="3" s="1"/>
  <c r="D12" i="3" s="1"/>
  <c r="F12" i="3"/>
  <c r="G12" i="3" s="1"/>
  <c r="C13" i="3" s="1"/>
  <c r="D13" i="3"/>
  <c r="M19" i="5" l="1"/>
  <c r="G6" i="2"/>
  <c r="G11" i="2" s="1"/>
  <c r="G15" i="2" s="1"/>
  <c r="L16" i="5"/>
  <c r="L19" i="5"/>
  <c r="C7" i="9"/>
  <c r="C11" i="9" s="1"/>
  <c r="E13" i="3"/>
  <c r="L21" i="5" s="1"/>
  <c r="D14" i="3"/>
  <c r="D18" i="2" l="1"/>
  <c r="F13" i="3"/>
  <c r="G13" i="3" s="1"/>
  <c r="C14" i="3" s="1"/>
  <c r="E14" i="3"/>
  <c r="M21" i="5" s="1"/>
  <c r="D15" i="3"/>
  <c r="F14" i="3" l="1"/>
  <c r="G14" i="3" s="1"/>
  <c r="C15" i="3" s="1"/>
  <c r="E15" i="3"/>
  <c r="N21" i="5" s="1"/>
  <c r="D16" i="3"/>
  <c r="F15" i="3"/>
  <c r="G15" i="3" s="1"/>
  <c r="C16" i="3" s="1"/>
  <c r="E16" i="3" l="1"/>
  <c r="O21" i="5" s="1"/>
  <c r="F16" i="3"/>
  <c r="G16" i="3" s="1"/>
  <c r="C17" i="3" s="1"/>
  <c r="D17" i="3"/>
  <c r="E17" i="3" l="1"/>
  <c r="P21" i="5" s="1"/>
  <c r="F17" i="3"/>
  <c r="G17" i="3" s="1"/>
  <c r="C18" i="3" s="1"/>
  <c r="D18" i="3"/>
  <c r="E18" i="3" l="1"/>
  <c r="Q21" i="5" s="1"/>
  <c r="D19" i="3"/>
  <c r="F18" i="3"/>
  <c r="G18" i="3" s="1"/>
  <c r="C19" i="3" s="1"/>
  <c r="E19" i="3" l="1"/>
  <c r="F19" i="3"/>
  <c r="G19" i="3" s="1"/>
  <c r="K16" i="5" l="1"/>
  <c r="G7" i="9" l="1"/>
  <c r="G11" i="9" s="1"/>
  <c r="E7" i="9"/>
  <c r="E11" i="9" s="1"/>
  <c r="F7" i="9"/>
  <c r="F11" i="9" s="1"/>
  <c r="H7" i="9"/>
  <c r="H11" i="9" s="1"/>
  <c r="I7" i="9"/>
  <c r="I11" i="9" s="1"/>
  <c r="D7" i="9"/>
  <c r="D11" i="9" s="1"/>
  <c r="K23" i="5" l="1"/>
  <c r="K24" i="5" s="1"/>
  <c r="K20" i="5"/>
  <c r="K25" i="5" l="1"/>
  <c r="M20" i="5"/>
  <c r="M16" i="5"/>
  <c r="N19" i="5"/>
  <c r="N20" i="5" s="1"/>
  <c r="N16" i="5"/>
  <c r="P19" i="5"/>
  <c r="P23" i="5" s="1"/>
  <c r="P24" i="5" s="1"/>
  <c r="P25" i="5" s="1"/>
  <c r="J7" i="2" s="1"/>
  <c r="P16" i="5"/>
  <c r="O19" i="5"/>
  <c r="O20" i="5" s="1"/>
  <c r="O16" i="5"/>
  <c r="Q16" i="5"/>
  <c r="Q19" i="5"/>
  <c r="Q20" i="5" s="1"/>
  <c r="L20" i="5"/>
  <c r="E7" i="2"/>
  <c r="P20" i="5" l="1"/>
  <c r="Q23" i="5"/>
  <c r="Q24" i="5" s="1"/>
  <c r="Q25" i="5" s="1"/>
  <c r="K7" i="2" s="1"/>
  <c r="M23" i="5"/>
  <c r="O23" i="5"/>
  <c r="O24" i="5" s="1"/>
  <c r="O25" i="5" s="1"/>
  <c r="I7" i="2" s="1"/>
  <c r="N23" i="5"/>
  <c r="N25" i="5" s="1"/>
  <c r="H7" i="2" s="1"/>
  <c r="L23" i="5"/>
  <c r="J16" i="2"/>
  <c r="E16" i="2"/>
  <c r="K16" i="2" l="1"/>
  <c r="M24" i="5"/>
  <c r="M25" i="5" s="1"/>
  <c r="G7" i="2" s="1"/>
  <c r="L24" i="5"/>
  <c r="L25" i="5" s="1"/>
  <c r="F7" i="2" s="1"/>
  <c r="I16" i="2"/>
  <c r="H16" i="2"/>
  <c r="G16" i="2" l="1"/>
  <c r="F16" i="2"/>
  <c r="D19" i="2" l="1"/>
  <c r="E19" i="2" s="1"/>
</calcChain>
</file>

<file path=xl/sharedStrings.xml><?xml version="1.0" encoding="utf-8"?>
<sst xmlns="http://schemas.openxmlformats.org/spreadsheetml/2006/main" count="174" uniqueCount="127">
  <si>
    <t>Annuity Payments</t>
  </si>
  <si>
    <t>Discounted Cash Flow</t>
  </si>
  <si>
    <t>NOPAT</t>
  </si>
  <si>
    <t>Less: Capex</t>
  </si>
  <si>
    <t>Free Cash Flow to Firm (FCFF)</t>
  </si>
  <si>
    <t>Discount Period</t>
  </si>
  <si>
    <t>Discount Factor</t>
  </si>
  <si>
    <t>Present Value of FCFF</t>
  </si>
  <si>
    <t>INR</t>
  </si>
  <si>
    <t>Final Enterprise Value</t>
  </si>
  <si>
    <t>WACC</t>
  </si>
  <si>
    <t>Tax Rate</t>
  </si>
  <si>
    <t>Year</t>
  </si>
  <si>
    <t>Expenses</t>
  </si>
  <si>
    <t>Finance Cost</t>
  </si>
  <si>
    <t>EBIT</t>
  </si>
  <si>
    <t>Loan Amortization</t>
  </si>
  <si>
    <t>loan amount</t>
  </si>
  <si>
    <t>time</t>
  </si>
  <si>
    <t>Interest monthly rate</t>
  </si>
  <si>
    <t>Monthly Payment</t>
  </si>
  <si>
    <t>Number of payments</t>
  </si>
  <si>
    <t>Beigning balance</t>
  </si>
  <si>
    <t>Payment amount</t>
  </si>
  <si>
    <t>Interst payment</t>
  </si>
  <si>
    <t>Principle payment</t>
  </si>
  <si>
    <t>Ending balance</t>
  </si>
  <si>
    <t>Major Maintaince Expenditure</t>
  </si>
  <si>
    <t>PBT</t>
  </si>
  <si>
    <t>Other Expenses</t>
  </si>
  <si>
    <t>Tax</t>
  </si>
  <si>
    <t>PAT</t>
  </si>
  <si>
    <t>Highlights of the Project</t>
  </si>
  <si>
    <t>After 5 years MME @5%/ per year</t>
  </si>
  <si>
    <t>MME for 5 years</t>
  </si>
  <si>
    <t>Source PIM report</t>
  </si>
  <si>
    <t>MME per year</t>
  </si>
  <si>
    <t>OTFIS</t>
  </si>
  <si>
    <t>Half Yearly Annuty</t>
  </si>
  <si>
    <t>Construction in Kms</t>
  </si>
  <si>
    <t>Remaining</t>
  </si>
  <si>
    <t>Payment by NHAI</t>
  </si>
  <si>
    <t>Irb Infrastructure Developers Ltd</t>
  </si>
  <si>
    <t>Beta Value</t>
  </si>
  <si>
    <t>Dilip Buildcon Ltd</t>
  </si>
  <si>
    <t>JMC Projects (India) Ltd.</t>
  </si>
  <si>
    <t>Gayatri Projects Ltd.</t>
  </si>
  <si>
    <t>Hindustan Construction Company Ltd.</t>
  </si>
  <si>
    <t>Unlevered Beta</t>
  </si>
  <si>
    <t>Debt-Equity</t>
  </si>
  <si>
    <t>Average D/E</t>
  </si>
  <si>
    <t>Current Assets</t>
  </si>
  <si>
    <t>Current Liabilities</t>
  </si>
  <si>
    <t>Working Capital</t>
  </si>
  <si>
    <t>Changes in Working Capital</t>
  </si>
  <si>
    <t>There is an outstanding loan amounting to Rs. 592.73 crore as on 31st March 2020. Loan amortization model is made using 11.8% interest rate. It is assumed that the loan will get over the FY-2027</t>
  </si>
  <si>
    <t>Debt</t>
  </si>
  <si>
    <t>Equity</t>
  </si>
  <si>
    <t>D/E Ratio</t>
  </si>
  <si>
    <t>SEW Krishnagar Baharampore</t>
  </si>
  <si>
    <t>Levered Beta</t>
  </si>
  <si>
    <t>Cost of Equity</t>
  </si>
  <si>
    <t>Rf</t>
  </si>
  <si>
    <t>Beta</t>
  </si>
  <si>
    <t>Rm</t>
  </si>
  <si>
    <t>Market Capitalisation</t>
  </si>
  <si>
    <t>Additional Risk Factor</t>
  </si>
  <si>
    <t>WACC of SEW</t>
  </si>
  <si>
    <t>Sum of Discounted Cash Flows</t>
  </si>
  <si>
    <t>Comparable Companies</t>
  </si>
  <si>
    <t>Add: Depriciation</t>
  </si>
  <si>
    <t>Gross Block</t>
  </si>
  <si>
    <t>Addition</t>
  </si>
  <si>
    <t>Deduction</t>
  </si>
  <si>
    <t>Depreciation</t>
  </si>
  <si>
    <t>Asset Write off (Net block)</t>
  </si>
  <si>
    <t>Accumulated Depreciation</t>
  </si>
  <si>
    <t>Net Block</t>
  </si>
  <si>
    <t>Depriciation Schedule for Tangibles</t>
  </si>
  <si>
    <t>Amount</t>
  </si>
  <si>
    <t>Depriciaiton %</t>
  </si>
  <si>
    <t>Dep amount</t>
  </si>
  <si>
    <t>Accumulated</t>
  </si>
  <si>
    <t>Closing Balance</t>
  </si>
  <si>
    <t>Company</t>
  </si>
  <si>
    <t>Industry</t>
  </si>
  <si>
    <t>EPC</t>
  </si>
  <si>
    <t>Market Risk Premium</t>
  </si>
  <si>
    <t>Risk-Free Rate</t>
  </si>
  <si>
    <t>Cost of Debt</t>
  </si>
  <si>
    <t>SEW Krishnagar Baharampur</t>
  </si>
  <si>
    <t>EBITDA</t>
  </si>
  <si>
    <t>EBITDA %</t>
  </si>
  <si>
    <t>Depriciation</t>
  </si>
  <si>
    <t>EBIT%</t>
  </si>
  <si>
    <t>Depriciation of Computer, Office equipments and vehicles</t>
  </si>
  <si>
    <t>Amortization of 107 crore Capital Expenditure ( amount lended by NHAI)</t>
  </si>
  <si>
    <t>Amortization amount</t>
  </si>
  <si>
    <t>Independent Engineer Salary</t>
  </si>
  <si>
    <t>Payment from NHAI</t>
  </si>
  <si>
    <t>Future Payment by NHAI</t>
  </si>
  <si>
    <t>Revenue</t>
  </si>
  <si>
    <t>DSCR</t>
  </si>
  <si>
    <t>80 employees</t>
  </si>
  <si>
    <t>Employee Expenses</t>
  </si>
  <si>
    <t>(INR)</t>
  </si>
  <si>
    <t xml:space="preserve">Revenue </t>
  </si>
  <si>
    <t>Payments to NHAI From Annuities</t>
  </si>
  <si>
    <t>3 crore/ per Year</t>
  </si>
  <si>
    <t>Payment to NHAI</t>
  </si>
  <si>
    <t>Total Revenue</t>
  </si>
  <si>
    <t>Remaining OTFIS from NHAI</t>
  </si>
  <si>
    <t>3 M</t>
  </si>
  <si>
    <t>12 M</t>
  </si>
  <si>
    <t>Independent Engineer Report</t>
  </si>
  <si>
    <t>Routine &amp; Periodic Maintenance Expenses</t>
  </si>
  <si>
    <t>Rate/per Km per month</t>
  </si>
  <si>
    <t>R&amp;P Maintainence Expense for 12 months</t>
  </si>
  <si>
    <t>R&amp;P Maintainence expense for 76Km (65.018+11)</t>
  </si>
  <si>
    <t>R&amp;P Maintainence Expense in the year 2023</t>
  </si>
  <si>
    <t>R&amp;P Maintainence Expense for 11 Km/ per annum</t>
  </si>
  <si>
    <t>Total R&amp;P Maintainence Expense</t>
  </si>
  <si>
    <t>Amount as at 31st March, 2020</t>
  </si>
  <si>
    <t>`</t>
  </si>
  <si>
    <t>Interest</t>
  </si>
  <si>
    <t>Date of valuation</t>
  </si>
  <si>
    <t>R&amp;P Maintainence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</si>
</sst>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 * #,##0.00_ ;_ * \-#,##0.00_ ;_ * &quot;-&quot;??_ ;_ @_ "/>
    <numFmt numFmtId="165" formatCode="&quot;FY&quot;yy\E"/>
    <numFmt numFmtId="166" formatCode="&quot;FY&quot;yy"/>
    <numFmt numFmtId="167" formatCode="[$-409]mmm\-yy;@"/>
    <numFmt numFmtId="168" formatCode="#,##0.0_);\(#,##0.0\)"/>
    <numFmt numFmtId="169" formatCode="#,##0.0"/>
    <numFmt numFmtId="170" formatCode="_ * #,##0_ ;_ * \-#,##0_ ;_ * &quot;-&quot;??_ ;_ @_ "/>
    <numFmt numFmtId="171" formatCode="0.000"/>
    <numFmt numFmtId="172" formatCode="0.0"/>
    <numFmt numFmtId="173" formatCode="_-* #,##0.00_-;\-* #,##0.00_-;_-* &quot;-&quot;??_-;_-@_-"/>
    <numFmt numFmtId="17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1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65" fontId="5" fillId="2" borderId="1" xfId="0" applyNumberFormat="1" applyFont="1" applyFill="1" applyBorder="1" applyAlignment="1">
      <alignment horizontal="left" vertical="center"/>
    </xf>
    <xf numFmtId="166" fontId="5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8" fontId="5" fillId="0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69" fontId="8" fillId="0" borderId="0" xfId="0" applyNumberFormat="1" applyFont="1" applyAlignment="1">
      <alignment horizontal="right"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3" fontId="5" fillId="5" borderId="4" xfId="0" applyNumberFormat="1" applyFont="1" applyFill="1" applyBorder="1" applyAlignment="1">
      <alignment horizontal="right" vertical="center"/>
    </xf>
    <xf numFmtId="10" fontId="6" fillId="0" borderId="5" xfId="0" applyNumberFormat="1" applyFont="1" applyBorder="1" applyAlignment="1">
      <alignment horizontal="right" vertical="center"/>
    </xf>
    <xf numFmtId="170" fontId="0" fillId="0" borderId="0" xfId="1" applyNumberFormat="1" applyFont="1"/>
    <xf numFmtId="0" fontId="0" fillId="7" borderId="5" xfId="0" applyFill="1" applyBorder="1"/>
    <xf numFmtId="170" fontId="0" fillId="5" borderId="5" xfId="1" applyNumberFormat="1" applyFont="1" applyFill="1" applyBorder="1"/>
    <xf numFmtId="0" fontId="0" fillId="5" borderId="5" xfId="0" applyFill="1" applyBorder="1"/>
    <xf numFmtId="10" fontId="0" fillId="5" borderId="5" xfId="2" applyNumberFormat="1" applyFont="1" applyFill="1" applyBorder="1"/>
    <xf numFmtId="0" fontId="2" fillId="8" borderId="5" xfId="0" applyFont="1" applyFill="1" applyBorder="1"/>
    <xf numFmtId="0" fontId="0" fillId="9" borderId="5" xfId="0" applyFill="1" applyBorder="1"/>
    <xf numFmtId="9" fontId="0" fillId="0" borderId="0" xfId="2" applyFont="1"/>
    <xf numFmtId="0" fontId="0" fillId="10" borderId="0" xfId="0" applyFill="1"/>
    <xf numFmtId="0" fontId="3" fillId="0" borderId="0" xfId="0" applyFont="1"/>
    <xf numFmtId="17" fontId="0" fillId="0" borderId="0" xfId="0" applyNumberFormat="1"/>
    <xf numFmtId="0" fontId="0" fillId="0" borderId="5" xfId="0" applyBorder="1"/>
    <xf numFmtId="170" fontId="0" fillId="0" borderId="5" xfId="1" applyNumberFormat="1" applyFont="1" applyBorder="1"/>
    <xf numFmtId="2" fontId="0" fillId="0" borderId="5" xfId="0" applyNumberFormat="1" applyBorder="1"/>
    <xf numFmtId="0" fontId="9" fillId="0" borderId="0" xfId="3"/>
    <xf numFmtId="170" fontId="0" fillId="0" borderId="0" xfId="0" applyNumberFormat="1"/>
    <xf numFmtId="2" fontId="0" fillId="0" borderId="0" xfId="0" applyNumberFormat="1"/>
    <xf numFmtId="172" fontId="0" fillId="0" borderId="0" xfId="0" applyNumberFormat="1"/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0" fillId="6" borderId="0" xfId="0" applyFill="1"/>
    <xf numFmtId="171" fontId="0" fillId="6" borderId="0" xfId="0" applyNumberFormat="1" applyFill="1"/>
    <xf numFmtId="0" fontId="3" fillId="6" borderId="0" xfId="0" applyFont="1" applyFill="1"/>
    <xf numFmtId="2" fontId="3" fillId="0" borderId="5" xfId="0" applyNumberFormat="1" applyFont="1" applyBorder="1"/>
    <xf numFmtId="0" fontId="3" fillId="0" borderId="5" xfId="0" applyFont="1" applyBorder="1"/>
    <xf numFmtId="2" fontId="3" fillId="6" borderId="0" xfId="0" applyNumberFormat="1" applyFont="1" applyFill="1"/>
    <xf numFmtId="17" fontId="0" fillId="0" borderId="5" xfId="0" applyNumberFormat="1" applyBorder="1"/>
    <xf numFmtId="0" fontId="10" fillId="0" borderId="5" xfId="0" applyFont="1" applyBorder="1"/>
    <xf numFmtId="170" fontId="11" fillId="0" borderId="5" xfId="1" applyNumberFormat="1" applyFont="1" applyBorder="1"/>
    <xf numFmtId="170" fontId="10" fillId="0" borderId="5" xfId="1" applyNumberFormat="1" applyFont="1" applyBorder="1"/>
    <xf numFmtId="4" fontId="11" fillId="11" borderId="5" xfId="4" applyNumberFormat="1" applyFont="1" applyFill="1" applyBorder="1"/>
    <xf numFmtId="4" fontId="10" fillId="0" borderId="5" xfId="2" applyNumberFormat="1" applyFont="1" applyBorder="1"/>
    <xf numFmtId="173" fontId="3" fillId="0" borderId="5" xfId="0" applyNumberFormat="1" applyFont="1" applyBorder="1"/>
    <xf numFmtId="10" fontId="0" fillId="0" borderId="5" xfId="0" applyNumberFormat="1" applyBorder="1"/>
    <xf numFmtId="173" fontId="0" fillId="0" borderId="5" xfId="0" applyNumberFormat="1" applyBorder="1"/>
    <xf numFmtId="164" fontId="0" fillId="0" borderId="0" xfId="0" applyNumberFormat="1"/>
    <xf numFmtId="0" fontId="12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12" fillId="0" borderId="1" xfId="0" applyFont="1" applyFill="1" applyBorder="1"/>
    <xf numFmtId="2" fontId="14" fillId="0" borderId="0" xfId="0" applyNumberFormat="1" applyFont="1" applyFill="1" applyBorder="1" applyAlignment="1">
      <alignment horizontal="right"/>
    </xf>
    <xf numFmtId="2" fontId="14" fillId="0" borderId="1" xfId="0" applyNumberFormat="1" applyFont="1" applyFill="1" applyBorder="1"/>
    <xf numFmtId="2" fontId="14" fillId="0" borderId="0" xfId="2" applyNumberFormat="1" applyFont="1" applyFill="1" applyBorder="1" applyAlignment="1">
      <alignment horizontal="right"/>
    </xf>
    <xf numFmtId="0" fontId="0" fillId="0" borderId="0" xfId="0" applyBorder="1"/>
    <xf numFmtId="0" fontId="0" fillId="9" borderId="0" xfId="0" applyFill="1"/>
    <xf numFmtId="0" fontId="3" fillId="9" borderId="0" xfId="0" applyFont="1" applyFill="1"/>
    <xf numFmtId="9" fontId="6" fillId="0" borderId="0" xfId="0" applyNumberFormat="1" applyFont="1" applyAlignment="1">
      <alignment horizontal="center" vertical="center"/>
    </xf>
    <xf numFmtId="9" fontId="0" fillId="0" borderId="0" xfId="0" applyNumberFormat="1"/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170" fontId="3" fillId="9" borderId="0" xfId="1" applyNumberFormat="1" applyFont="1" applyFill="1"/>
    <xf numFmtId="164" fontId="0" fillId="0" borderId="0" xfId="1" applyNumberFormat="1" applyFont="1"/>
    <xf numFmtId="170" fontId="3" fillId="0" borderId="0" xfId="1" applyNumberFormat="1" applyFont="1" applyBorder="1"/>
    <xf numFmtId="170" fontId="0" fillId="0" borderId="0" xfId="1" applyNumberFormat="1" applyFont="1" applyBorder="1"/>
    <xf numFmtId="164" fontId="0" fillId="0" borderId="0" xfId="0" applyNumberFormat="1" applyBorder="1"/>
    <xf numFmtId="174" fontId="15" fillId="0" borderId="0" xfId="2" applyNumberFormat="1" applyFont="1" applyBorder="1"/>
    <xf numFmtId="170" fontId="0" fillId="0" borderId="0" xfId="0" applyNumberFormat="1" applyBorder="1"/>
    <xf numFmtId="0" fontId="16" fillId="0" borderId="0" xfId="0" applyFont="1" applyBorder="1"/>
    <xf numFmtId="0" fontId="0" fillId="13" borderId="5" xfId="0" applyFill="1" applyBorder="1"/>
    <xf numFmtId="0" fontId="0" fillId="0" borderId="0" xfId="0" applyFill="1" applyBorder="1"/>
    <xf numFmtId="170" fontId="0" fillId="0" borderId="0" xfId="1" applyNumberFormat="1" applyFont="1" applyFill="1" applyBorder="1"/>
    <xf numFmtId="0" fontId="3" fillId="6" borderId="5" xfId="0" applyFont="1" applyFill="1" applyBorder="1"/>
    <xf numFmtId="170" fontId="3" fillId="6" borderId="5" xfId="0" applyNumberFormat="1" applyFont="1" applyFill="1" applyBorder="1"/>
    <xf numFmtId="17" fontId="0" fillId="0" borderId="0" xfId="0" applyNumberFormat="1" applyBorder="1"/>
    <xf numFmtId="0" fontId="3" fillId="0" borderId="0" xfId="0" applyFont="1" applyBorder="1"/>
    <xf numFmtId="0" fontId="15" fillId="9" borderId="0" xfId="0" applyFont="1" applyFill="1" applyBorder="1"/>
    <xf numFmtId="0" fontId="0" fillId="0" borderId="0" xfId="0" applyFont="1" applyBorder="1"/>
    <xf numFmtId="170" fontId="1" fillId="0" borderId="0" xfId="1" applyNumberFormat="1" applyFont="1" applyBorder="1"/>
    <xf numFmtId="172" fontId="0" fillId="0" borderId="5" xfId="0" applyNumberFormat="1" applyBorder="1"/>
    <xf numFmtId="14" fontId="0" fillId="0" borderId="5" xfId="0" applyNumberFormat="1" applyBorder="1"/>
    <xf numFmtId="0" fontId="4" fillId="10" borderId="0" xfId="0" applyFont="1" applyFill="1" applyAlignment="1">
      <alignment horizontal="left" vertical="center"/>
    </xf>
    <xf numFmtId="170" fontId="0" fillId="0" borderId="0" xfId="1" applyNumberFormat="1" applyFont="1" applyAlignment="1">
      <alignment horizontal="center" vertical="center" wrapText="1"/>
    </xf>
    <xf numFmtId="0" fontId="3" fillId="12" borderId="0" xfId="0" applyFont="1" applyFill="1" applyAlignment="1">
      <alignment horizontal="center"/>
    </xf>
    <xf numFmtId="0" fontId="0" fillId="13" borderId="5" xfId="0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</cellXfs>
  <cellStyles count="5">
    <cellStyle name="Comma" xfId="1" builtinId="3"/>
    <cellStyle name="Comma 2" xf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2</xdr:col>
      <xdr:colOff>332946</xdr:colOff>
      <xdr:row>34</xdr:row>
      <xdr:rowOff>66675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b="4384"/>
        <a:stretch/>
      </xdr:blipFill>
      <xdr:spPr>
        <a:xfrm>
          <a:off x="0" y="4191000"/>
          <a:ext cx="3428571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180975</xdr:rowOff>
    </xdr:from>
    <xdr:to>
      <xdr:col>2</xdr:col>
      <xdr:colOff>304375</xdr:colOff>
      <xdr:row>37</xdr:row>
      <xdr:rowOff>123761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33975"/>
          <a:ext cx="3400000" cy="5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40</xdr:row>
      <xdr:rowOff>76200</xdr:rowOff>
    </xdr:from>
    <xdr:to>
      <xdr:col>3</xdr:col>
      <xdr:colOff>942395</xdr:colOff>
      <xdr:row>55</xdr:row>
      <xdr:rowOff>152033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6172200"/>
          <a:ext cx="4638095" cy="29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161926</xdr:rowOff>
    </xdr:from>
    <xdr:to>
      <xdr:col>3</xdr:col>
      <xdr:colOff>1847850</xdr:colOff>
      <xdr:row>61</xdr:row>
      <xdr:rowOff>146790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1020426"/>
          <a:ext cx="5553075" cy="746864"/>
        </a:xfrm>
        <a:prstGeom prst="rect">
          <a:avLst/>
        </a:prstGeom>
      </xdr:spPr>
    </xdr:pic>
    <xdr:clientData/>
  </xdr:twoCellAnchor>
  <xdr:twoCellAnchor>
    <xdr:from>
      <xdr:col>12</xdr:col>
      <xdr:colOff>133349</xdr:colOff>
      <xdr:row>30</xdr:row>
      <xdr:rowOff>9525</xdr:rowOff>
    </xdr:from>
    <xdr:to>
      <xdr:col>12</xdr:col>
      <xdr:colOff>1038224</xdr:colOff>
      <xdr:row>31</xdr:row>
      <xdr:rowOff>76200</xdr:rowOff>
    </xdr:to>
    <xdr:sp macro="" textlink="">
      <xdr:nvSpPr>
        <xdr:cNvPr id="6" name="Right Arrow 5"/>
        <xdr:cNvSpPr/>
      </xdr:nvSpPr>
      <xdr:spPr>
        <a:xfrm>
          <a:off x="9315449" y="5724525"/>
          <a:ext cx="904875" cy="257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819150</xdr:colOff>
      <xdr:row>29</xdr:row>
      <xdr:rowOff>142876</xdr:rowOff>
    </xdr:from>
    <xdr:to>
      <xdr:col>16</xdr:col>
      <xdr:colOff>846068</xdr:colOff>
      <xdr:row>44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9975" y="5667376"/>
          <a:ext cx="8542268" cy="2828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showGridLines="0" workbookViewId="0">
      <selection activeCell="B13" sqref="B13"/>
    </sheetView>
  </sheetViews>
  <sheetFormatPr defaultRowHeight="15" x14ac:dyDescent="0.25"/>
  <cols>
    <col min="1" max="1" width="21.7109375" bestFit="1" customWidth="1"/>
    <col min="2" max="2" width="23.85546875" bestFit="1" customWidth="1"/>
  </cols>
  <sheetData>
    <row r="6" spans="1:2" x14ac:dyDescent="0.25">
      <c r="A6" s="67" t="s">
        <v>84</v>
      </c>
      <c r="B6" s="68" t="s">
        <v>90</v>
      </c>
    </row>
    <row r="7" spans="1:2" x14ac:dyDescent="0.25">
      <c r="A7" s="67" t="s">
        <v>85</v>
      </c>
      <c r="B7" s="68" t="s">
        <v>86</v>
      </c>
    </row>
    <row r="8" spans="1:2" x14ac:dyDescent="0.25">
      <c r="A8" s="69" t="s">
        <v>87</v>
      </c>
      <c r="B8" s="71">
        <f>WACC!D26-WACC!D24</f>
        <v>2.3000000000000007</v>
      </c>
    </row>
    <row r="9" spans="1:2" x14ac:dyDescent="0.25">
      <c r="A9" s="69" t="s">
        <v>88</v>
      </c>
      <c r="B9" s="71">
        <f>WACC!D24</f>
        <v>6.01</v>
      </c>
    </row>
    <row r="10" spans="1:2" x14ac:dyDescent="0.25">
      <c r="A10" s="69" t="s">
        <v>30</v>
      </c>
      <c r="B10" s="73">
        <f>DCF!D22</f>
        <v>0.25</v>
      </c>
    </row>
    <row r="11" spans="1:2" x14ac:dyDescent="0.25">
      <c r="A11" s="69" t="s">
        <v>61</v>
      </c>
      <c r="B11" s="71">
        <f>WACC!D23</f>
        <v>17.279173308667193</v>
      </c>
    </row>
    <row r="12" spans="1:2" x14ac:dyDescent="0.25">
      <c r="A12" s="69" t="s">
        <v>89</v>
      </c>
      <c r="B12" s="71">
        <v>0.11799999999999999</v>
      </c>
    </row>
    <row r="13" spans="1:2" x14ac:dyDescent="0.25">
      <c r="A13" s="70" t="s">
        <v>10</v>
      </c>
      <c r="B13" s="72">
        <v>11.5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activeCell="F19" sqref="F19"/>
    </sheetView>
  </sheetViews>
  <sheetFormatPr defaultRowHeight="15" x14ac:dyDescent="0.25"/>
  <cols>
    <col min="2" max="2" width="50.85546875" bestFit="1" customWidth="1"/>
    <col min="3" max="3" width="6.7109375" bestFit="1" customWidth="1"/>
    <col min="4" max="10" width="12.7109375" bestFit="1" customWidth="1"/>
    <col min="11" max="11" width="11.28515625" bestFit="1" customWidth="1"/>
  </cols>
  <sheetData>
    <row r="1" spans="1:11" s="36" customFormat="1" x14ac:dyDescent="0.25">
      <c r="A1" s="102" t="s">
        <v>1</v>
      </c>
      <c r="B1" s="102"/>
      <c r="C1" s="102"/>
      <c r="D1" s="102"/>
      <c r="E1" s="102"/>
      <c r="F1" s="102"/>
      <c r="G1" s="102"/>
      <c r="H1" s="102"/>
      <c r="I1" s="102"/>
    </row>
    <row r="2" spans="1:11" s="36" customFormat="1" x14ac:dyDescent="0.25">
      <c r="A2" s="102"/>
      <c r="B2" s="102"/>
      <c r="C2" s="102"/>
      <c r="D2" s="102"/>
      <c r="E2" s="102"/>
      <c r="F2" s="102"/>
      <c r="G2" s="102"/>
      <c r="H2" s="102"/>
      <c r="I2" s="102"/>
    </row>
    <row r="3" spans="1:11" x14ac:dyDescent="0.25">
      <c r="A3" s="2"/>
      <c r="B3" s="2"/>
      <c r="C3" s="3"/>
      <c r="D3" s="3"/>
      <c r="E3" s="3"/>
      <c r="F3" s="3"/>
      <c r="G3" s="3"/>
      <c r="H3" s="2"/>
      <c r="I3" s="2"/>
    </row>
    <row r="4" spans="1:11" x14ac:dyDescent="0.25">
      <c r="A4" s="2"/>
      <c r="B4" s="4" t="s">
        <v>105</v>
      </c>
      <c r="C4" s="5"/>
      <c r="D4" s="6"/>
      <c r="E4" s="7">
        <v>44286</v>
      </c>
      <c r="F4" s="7">
        <v>44651</v>
      </c>
      <c r="G4" s="7">
        <v>45016</v>
      </c>
      <c r="H4" s="7">
        <v>45382</v>
      </c>
      <c r="I4" s="7">
        <v>45747</v>
      </c>
      <c r="J4" s="7">
        <v>46112</v>
      </c>
      <c r="K4" s="7">
        <v>46477</v>
      </c>
    </row>
    <row r="5" spans="1:11" x14ac:dyDescent="0.25">
      <c r="A5" s="2"/>
      <c r="B5" s="8"/>
      <c r="C5" s="9"/>
      <c r="D5" s="9"/>
      <c r="E5" s="9"/>
      <c r="F5" s="9"/>
      <c r="G5" s="9"/>
      <c r="H5" s="9"/>
      <c r="I5" s="2"/>
    </row>
    <row r="6" spans="1:11" x14ac:dyDescent="0.25">
      <c r="A6" s="2"/>
      <c r="B6" s="10" t="s">
        <v>91</v>
      </c>
      <c r="C6" s="11"/>
      <c r="D6" s="12"/>
      <c r="E6" s="12">
        <f>Projections!K15</f>
        <v>421100505</v>
      </c>
      <c r="F6" s="12">
        <f>Projections!L15</f>
        <v>719949299.15040004</v>
      </c>
      <c r="G6" s="12">
        <f>Projections!M15</f>
        <v>921175254.81675196</v>
      </c>
      <c r="H6" s="12">
        <f>Projections!N15</f>
        <v>102958122.95550001</v>
      </c>
      <c r="I6" s="12">
        <f>Projections!O15</f>
        <v>996699789.10327506</v>
      </c>
      <c r="J6" s="12">
        <f>Projections!P15</f>
        <v>990128538.55843878</v>
      </c>
      <c r="K6" s="12">
        <f>Projections!Q15</f>
        <v>678697525.48636067</v>
      </c>
    </row>
    <row r="7" spans="1:11" hidden="1" x14ac:dyDescent="0.25">
      <c r="A7" s="2"/>
      <c r="B7" s="14" t="s">
        <v>2</v>
      </c>
      <c r="C7" s="11"/>
      <c r="D7" s="12"/>
      <c r="E7" s="12">
        <f t="shared" ref="E7:K7" si="0">E6*(1-$D$22)</f>
        <v>315825378.75</v>
      </c>
      <c r="F7" s="12">
        <f t="shared" si="0"/>
        <v>539961974.3628</v>
      </c>
      <c r="G7" s="12">
        <f t="shared" si="0"/>
        <v>690881441.11256397</v>
      </c>
      <c r="H7" s="12">
        <f t="shared" si="0"/>
        <v>77218592.216625005</v>
      </c>
      <c r="I7" s="12">
        <f t="shared" si="0"/>
        <v>747524841.82745624</v>
      </c>
      <c r="J7" s="12">
        <f t="shared" si="0"/>
        <v>742596403.91882908</v>
      </c>
      <c r="K7" s="12">
        <f t="shared" si="0"/>
        <v>509023144.11477053</v>
      </c>
    </row>
    <row r="8" spans="1:11" hidden="1" x14ac:dyDescent="0.25">
      <c r="A8" s="2"/>
      <c r="B8" s="14" t="s">
        <v>70</v>
      </c>
      <c r="C8" s="11"/>
      <c r="D8" s="12"/>
      <c r="E8" s="12">
        <f>Depriciation!G18+Projections!K18</f>
        <v>1382285.7142857143</v>
      </c>
      <c r="F8" s="12">
        <f>Projections!L17+Projections!L18</f>
        <v>1382285.7142857143</v>
      </c>
      <c r="G8" s="12">
        <f>Projections!M17+Projections!M18</f>
        <v>1382285.7142857143</v>
      </c>
      <c r="H8" s="12">
        <f>Projections!N17+Projections!N18</f>
        <v>1382285.7142857143</v>
      </c>
      <c r="I8" s="12">
        <f>Projections!O17+Projections!O18</f>
        <v>1382285.7142857143</v>
      </c>
      <c r="J8" s="12">
        <f>Projections!P17+Projections!P18</f>
        <v>1382285.7142857143</v>
      </c>
      <c r="K8" s="12">
        <f>Projections!Q17+Projections!Q18</f>
        <v>0</v>
      </c>
    </row>
    <row r="9" spans="1:11" hidden="1" x14ac:dyDescent="0.25">
      <c r="A9" s="2"/>
      <c r="B9" s="9" t="s">
        <v>3</v>
      </c>
      <c r="C9" s="16"/>
      <c r="D9" s="13"/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2"/>
      <c r="B10" s="9"/>
      <c r="C10" s="16"/>
      <c r="D10" s="13"/>
      <c r="E10" s="17"/>
      <c r="F10" s="17"/>
      <c r="G10" s="17"/>
      <c r="H10" s="9"/>
      <c r="I10" s="2"/>
    </row>
    <row r="11" spans="1:11" x14ac:dyDescent="0.25">
      <c r="A11" s="2"/>
      <c r="B11" s="18" t="s">
        <v>4</v>
      </c>
      <c r="C11" s="19"/>
      <c r="D11" s="20"/>
      <c r="E11" s="20">
        <f>E6</f>
        <v>421100505</v>
      </c>
      <c r="F11" s="20">
        <f t="shared" ref="F11:K11" si="1">F6</f>
        <v>719949299.15040004</v>
      </c>
      <c r="G11" s="20">
        <f t="shared" si="1"/>
        <v>921175254.81675196</v>
      </c>
      <c r="H11" s="20">
        <f t="shared" si="1"/>
        <v>102958122.95550001</v>
      </c>
      <c r="I11" s="20">
        <f t="shared" si="1"/>
        <v>996699789.10327506</v>
      </c>
      <c r="J11" s="20">
        <f t="shared" si="1"/>
        <v>990128538.55843878</v>
      </c>
      <c r="K11" s="20">
        <f t="shared" si="1"/>
        <v>678697525.48636067</v>
      </c>
    </row>
    <row r="12" spans="1:11" x14ac:dyDescent="0.25">
      <c r="A12" s="2"/>
      <c r="B12" s="9"/>
      <c r="C12" s="16"/>
      <c r="D12" s="17"/>
      <c r="E12" s="17"/>
      <c r="F12" s="17"/>
      <c r="G12" s="17"/>
      <c r="H12" s="9"/>
      <c r="I12" s="2"/>
    </row>
    <row r="13" spans="1:11" x14ac:dyDescent="0.25">
      <c r="A13" s="2"/>
      <c r="B13" s="9" t="s">
        <v>5</v>
      </c>
      <c r="C13" s="16"/>
      <c r="D13" s="21"/>
      <c r="E13" s="44">
        <f>(E4-$D$23)/365</f>
        <v>0.27123287671232876</v>
      </c>
      <c r="F13" s="44">
        <f t="shared" ref="F13:K13" si="2">(F4-$D$23)/365</f>
        <v>1.2712328767123289</v>
      </c>
      <c r="G13" s="44">
        <f t="shared" si="2"/>
        <v>2.2712328767123289</v>
      </c>
      <c r="H13" s="44">
        <f t="shared" si="2"/>
        <v>3.2739726027397262</v>
      </c>
      <c r="I13" s="44">
        <f t="shared" si="2"/>
        <v>4.2739726027397262</v>
      </c>
      <c r="J13" s="44">
        <f t="shared" si="2"/>
        <v>5.2739726027397262</v>
      </c>
      <c r="K13" s="44">
        <f t="shared" si="2"/>
        <v>6.2739726027397262</v>
      </c>
    </row>
    <row r="14" spans="1:11" x14ac:dyDescent="0.25">
      <c r="A14" s="2"/>
      <c r="B14" s="22" t="s">
        <v>6</v>
      </c>
      <c r="C14" s="16"/>
      <c r="D14" s="23"/>
      <c r="E14" s="45">
        <f>1/(1+WACC)^E13</f>
        <v>0.97078865132970782</v>
      </c>
      <c r="F14" s="45">
        <f t="shared" ref="F14:K14" si="3">1/(1+WACC)^F13</f>
        <v>0.87027221096343155</v>
      </c>
      <c r="G14" s="45">
        <f t="shared" si="3"/>
        <v>0.78016334465569848</v>
      </c>
      <c r="H14" s="45">
        <f t="shared" si="3"/>
        <v>0.69917503565298011</v>
      </c>
      <c r="I14" s="45">
        <f t="shared" si="3"/>
        <v>0.62678174419809962</v>
      </c>
      <c r="J14" s="45">
        <f t="shared" si="3"/>
        <v>0.56188412747476446</v>
      </c>
      <c r="K14" s="45">
        <f t="shared" si="3"/>
        <v>0.50370607572816173</v>
      </c>
    </row>
    <row r="15" spans="1:11" x14ac:dyDescent="0.25">
      <c r="A15" s="2"/>
      <c r="B15" s="9" t="s">
        <v>7</v>
      </c>
      <c r="C15" s="16"/>
      <c r="D15" s="17"/>
      <c r="E15">
        <f>(E11*E13)*E14</f>
        <v>110879889.1534183</v>
      </c>
      <c r="F15">
        <f>F11*F14</f>
        <v>626551868.35319161</v>
      </c>
      <c r="G15">
        <f t="shared" ref="G15:K15" si="4">G11*G14</f>
        <v>718667167.81190252</v>
      </c>
      <c r="H15">
        <f t="shared" si="4"/>
        <v>71985749.288175628</v>
      </c>
      <c r="I15">
        <f t="shared" si="4"/>
        <v>624713232.25602877</v>
      </c>
      <c r="J15">
        <f t="shared" si="4"/>
        <v>556337509.97577202</v>
      </c>
      <c r="K15">
        <f t="shared" si="4"/>
        <v>341864067.16914874</v>
      </c>
    </row>
    <row r="16" spans="1:11" x14ac:dyDescent="0.25">
      <c r="A16" s="2"/>
      <c r="B16" s="9" t="s">
        <v>102</v>
      </c>
      <c r="C16" s="16"/>
      <c r="D16" s="16"/>
      <c r="E16" s="79">
        <f>E11/('Loan Schedule &amp; WC'!E12+'Loan Schedule &amp; WC'!F12)</f>
        <v>0.32629523043515535</v>
      </c>
      <c r="F16" s="79">
        <f>F11/('Loan Schedule &amp; WC'!E13+'Loan Schedule &amp; WC'!F13)</f>
        <v>0.55786212478635799</v>
      </c>
      <c r="G16" s="79">
        <f>G11/('Loan Schedule &amp; WC'!E14+'Loan Schedule &amp; WC'!F14)</f>
        <v>0.7137846867260228</v>
      </c>
      <c r="H16" s="80">
        <f>H11/('Loan Schedule &amp; WC'!E15+'Loan Schedule &amp; WC'!F15)</f>
        <v>7.9778447320873982E-2</v>
      </c>
      <c r="I16" s="81">
        <f>I11/('Loan Schedule &amp; WC'!E16+'Loan Schedule &amp; WC'!F16)</f>
        <v>0.77230585928678441</v>
      </c>
      <c r="J16" s="44">
        <f>J11/('Loan Schedule &amp; WC'!E17+'Loan Schedule &amp; WC'!F17)</f>
        <v>0.76721403991037573</v>
      </c>
      <c r="K16" s="44">
        <f>K11/('Loan Schedule &amp; WC'!E18+'Loan Schedule &amp; WC'!F18)</f>
        <v>0.52589764876758283</v>
      </c>
    </row>
    <row r="17" spans="1:9" x14ac:dyDescent="0.25">
      <c r="A17" s="2"/>
      <c r="B17" s="9"/>
      <c r="C17" s="16"/>
      <c r="D17" s="16"/>
      <c r="E17" s="16"/>
      <c r="F17" s="16"/>
      <c r="G17" s="16"/>
      <c r="H17" s="9"/>
      <c r="I17" s="2"/>
    </row>
    <row r="18" spans="1:9" x14ac:dyDescent="0.25">
      <c r="A18" s="2"/>
      <c r="B18" s="24" t="s">
        <v>68</v>
      </c>
      <c r="C18" s="25" t="s">
        <v>8</v>
      </c>
      <c r="D18" s="26">
        <f>SUM(E15:K15)</f>
        <v>3050999484.0076375</v>
      </c>
      <c r="E18" s="16"/>
      <c r="F18" s="16"/>
      <c r="G18" s="16"/>
      <c r="H18" s="9"/>
      <c r="I18" s="2"/>
    </row>
    <row r="19" spans="1:9" x14ac:dyDescent="0.25">
      <c r="A19" s="2"/>
      <c r="B19" s="24" t="s">
        <v>9</v>
      </c>
      <c r="C19" s="25" t="s">
        <v>8</v>
      </c>
      <c r="D19" s="26">
        <f>D18</f>
        <v>3050999484.0076375</v>
      </c>
      <c r="E19" s="79">
        <f>D19/10^7</f>
        <v>305.09994840076376</v>
      </c>
      <c r="F19" s="16"/>
      <c r="G19" s="16"/>
      <c r="H19" s="9"/>
      <c r="I19" s="2"/>
    </row>
    <row r="20" spans="1:9" x14ac:dyDescent="0.25">
      <c r="A20" s="2"/>
      <c r="B20" s="9"/>
      <c r="C20" s="16"/>
      <c r="D20" s="16"/>
      <c r="E20" s="16"/>
      <c r="F20" s="16"/>
      <c r="G20" s="16"/>
      <c r="H20" s="9"/>
      <c r="I20" s="2"/>
    </row>
    <row r="21" spans="1:9" x14ac:dyDescent="0.25">
      <c r="A21" s="2"/>
      <c r="B21" s="46" t="s">
        <v>10</v>
      </c>
      <c r="C21" s="47"/>
      <c r="D21" s="50">
        <v>0.11550000000000001</v>
      </c>
      <c r="E21" s="16"/>
      <c r="F21" s="16"/>
      <c r="H21" s="9"/>
      <c r="I21" s="2"/>
    </row>
    <row r="22" spans="1:9" x14ac:dyDescent="0.25">
      <c r="A22" s="2"/>
      <c r="B22" s="48" t="s">
        <v>11</v>
      </c>
      <c r="C22" s="49"/>
      <c r="D22" s="27">
        <v>0.25</v>
      </c>
      <c r="E22" s="3"/>
      <c r="F22" s="3"/>
      <c r="G22" s="3"/>
      <c r="H22" s="2"/>
      <c r="I22" s="2"/>
    </row>
    <row r="23" spans="1:9" x14ac:dyDescent="0.25">
      <c r="B23" s="39" t="s">
        <v>125</v>
      </c>
      <c r="C23" s="39"/>
      <c r="D23" s="101">
        <v>44187</v>
      </c>
    </row>
    <row r="24" spans="1:9" x14ac:dyDescent="0.25">
      <c r="D24" s="77"/>
    </row>
    <row r="25" spans="1:9" x14ac:dyDescent="0.25">
      <c r="D25" s="78"/>
    </row>
  </sheetData>
  <mergeCells count="1">
    <mergeCell ref="A1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63"/>
  <sheetViews>
    <sheetView topLeftCell="N23" workbookViewId="0">
      <selection activeCell="W43" sqref="W43"/>
    </sheetView>
  </sheetViews>
  <sheetFormatPr defaultRowHeight="15" x14ac:dyDescent="0.25"/>
  <cols>
    <col min="1" max="1" width="31.140625" bestFit="1" customWidth="1"/>
    <col min="2" max="2" width="15.28515625" bestFit="1" customWidth="1"/>
    <col min="4" max="4" width="48.42578125" bestFit="1" customWidth="1"/>
    <col min="5" max="10" width="16.85546875" hidden="1" customWidth="1"/>
    <col min="11" max="16" width="16.85546875" bestFit="1" customWidth="1"/>
    <col min="17" max="17" width="15.28515625" bestFit="1" customWidth="1"/>
    <col min="18" max="22" width="10.42578125" bestFit="1" customWidth="1"/>
    <col min="23" max="23" width="40.140625" bestFit="1" customWidth="1"/>
    <col min="24" max="24" width="13.42578125" bestFit="1" customWidth="1"/>
    <col min="25" max="25" width="12.5703125" bestFit="1" customWidth="1"/>
    <col min="26" max="26" width="13.42578125" bestFit="1" customWidth="1"/>
    <col min="27" max="29" width="14.28515625" bestFit="1" customWidth="1"/>
    <col min="30" max="30" width="12.5703125" bestFit="1" customWidth="1"/>
  </cols>
  <sheetData>
    <row r="3" spans="1:30" x14ac:dyDescent="0.25">
      <c r="A3" s="39" t="s">
        <v>38</v>
      </c>
      <c r="B3" s="40">
        <f>61.2*10^7</f>
        <v>612000000</v>
      </c>
      <c r="X3">
        <v>100000</v>
      </c>
    </row>
    <row r="4" spans="1:30" x14ac:dyDescent="0.25">
      <c r="A4" s="39" t="s">
        <v>39</v>
      </c>
      <c r="B4" s="39">
        <v>78</v>
      </c>
    </row>
    <row r="5" spans="1:30" x14ac:dyDescent="0.25">
      <c r="A5" s="39" t="s">
        <v>40</v>
      </c>
      <c r="B5" s="39">
        <v>11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x14ac:dyDescent="0.25">
      <c r="D6" s="74" t="s">
        <v>12</v>
      </c>
      <c r="E6" s="95">
        <v>42064</v>
      </c>
      <c r="F6" s="95">
        <v>42430</v>
      </c>
      <c r="G6" s="95">
        <v>42795</v>
      </c>
      <c r="H6" s="95">
        <v>43160</v>
      </c>
      <c r="I6" s="95">
        <v>43525</v>
      </c>
      <c r="J6" s="95">
        <v>43891</v>
      </c>
      <c r="K6" s="95">
        <v>44256</v>
      </c>
      <c r="L6" s="95">
        <v>44621</v>
      </c>
      <c r="M6" s="95">
        <v>44986</v>
      </c>
      <c r="N6" s="95">
        <v>45352</v>
      </c>
      <c r="O6" s="95">
        <v>45717</v>
      </c>
      <c r="P6" s="95">
        <v>46082</v>
      </c>
      <c r="Q6" s="95">
        <v>46447</v>
      </c>
      <c r="W6" s="74" t="s">
        <v>12</v>
      </c>
      <c r="X6" s="95">
        <v>44256</v>
      </c>
      <c r="Y6" s="95">
        <v>44621</v>
      </c>
      <c r="Z6" s="95">
        <v>44986</v>
      </c>
      <c r="AA6" s="95">
        <v>45352</v>
      </c>
      <c r="AB6" s="95">
        <v>45717</v>
      </c>
      <c r="AC6" s="95">
        <v>46082</v>
      </c>
      <c r="AD6" s="95">
        <v>46447</v>
      </c>
    </row>
    <row r="7" spans="1:30" x14ac:dyDescent="0.25">
      <c r="K7" t="s">
        <v>112</v>
      </c>
      <c r="L7" t="s">
        <v>113</v>
      </c>
      <c r="M7" t="s">
        <v>113</v>
      </c>
      <c r="N7" t="s">
        <v>113</v>
      </c>
      <c r="O7" t="s">
        <v>113</v>
      </c>
      <c r="P7" t="s">
        <v>113</v>
      </c>
      <c r="Q7" t="s">
        <v>113</v>
      </c>
      <c r="X7" t="s">
        <v>112</v>
      </c>
      <c r="Y7" t="s">
        <v>113</v>
      </c>
      <c r="Z7" t="s">
        <v>113</v>
      </c>
      <c r="AA7" t="s">
        <v>113</v>
      </c>
      <c r="AB7" t="s">
        <v>113</v>
      </c>
      <c r="AC7" t="s">
        <v>113</v>
      </c>
      <c r="AD7" t="s">
        <v>113</v>
      </c>
    </row>
    <row r="8" spans="1:30" x14ac:dyDescent="0.25">
      <c r="A8" s="39" t="s">
        <v>34</v>
      </c>
      <c r="B8" s="39">
        <f>3000000*11</f>
        <v>33000000</v>
      </c>
      <c r="D8" s="96" t="s">
        <v>106</v>
      </c>
      <c r="E8" s="84">
        <f>$B$3*2</f>
        <v>1224000000</v>
      </c>
      <c r="F8" s="84">
        <f t="shared" ref="F8:J8" si="0">$B$3*2</f>
        <v>1224000000</v>
      </c>
      <c r="G8" s="84">
        <f t="shared" si="0"/>
        <v>1224000000</v>
      </c>
      <c r="H8" s="84">
        <f t="shared" si="0"/>
        <v>1224000000</v>
      </c>
      <c r="I8" s="84">
        <f t="shared" si="0"/>
        <v>1224000000</v>
      </c>
      <c r="J8" s="84">
        <f t="shared" si="0"/>
        <v>1224000000</v>
      </c>
      <c r="K8" s="84">
        <f>'Operational Revenue'!C22</f>
        <v>620000000</v>
      </c>
      <c r="L8" s="84">
        <f>'Operational Revenue'!D22</f>
        <v>912102927</v>
      </c>
      <c r="M8" s="84">
        <f>'Operational Revenue'!E22</f>
        <v>1135833615.26</v>
      </c>
      <c r="N8" s="84">
        <f>'Operational Revenue'!F22</f>
        <v>1224000000</v>
      </c>
      <c r="O8" s="84">
        <f>'Operational Revenue'!G22</f>
        <v>1224000000</v>
      </c>
      <c r="P8" s="84">
        <f>'Operational Revenue'!H22</f>
        <v>1224000000</v>
      </c>
      <c r="Q8" s="84">
        <f>'Operational Revenue'!I22</f>
        <v>918000000</v>
      </c>
      <c r="R8" s="28"/>
      <c r="W8" s="96" t="s">
        <v>106</v>
      </c>
      <c r="X8" s="28">
        <v>6200</v>
      </c>
      <c r="Y8" s="28">
        <v>9121.0292700000009</v>
      </c>
      <c r="Z8" s="28">
        <v>11358.336152600001</v>
      </c>
      <c r="AA8" s="28">
        <v>12240</v>
      </c>
      <c r="AB8" s="28">
        <v>12240</v>
      </c>
      <c r="AC8" s="28">
        <v>12240</v>
      </c>
      <c r="AD8" s="28">
        <v>9180</v>
      </c>
    </row>
    <row r="9" spans="1:30" x14ac:dyDescent="0.25">
      <c r="A9" s="39" t="s">
        <v>36</v>
      </c>
      <c r="B9" s="39">
        <f>B8/5</f>
        <v>6600000</v>
      </c>
      <c r="D9" s="74" t="s">
        <v>13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W9" s="74" t="s">
        <v>13</v>
      </c>
      <c r="X9" s="28"/>
      <c r="Y9" s="28"/>
      <c r="Z9" s="28"/>
      <c r="AA9" s="28"/>
      <c r="AB9" s="28"/>
      <c r="AC9" s="28"/>
      <c r="AD9" s="28"/>
    </row>
    <row r="10" spans="1:30" x14ac:dyDescent="0.25">
      <c r="A10" s="39"/>
      <c r="B10" s="39"/>
      <c r="D10" s="74" t="s">
        <v>27</v>
      </c>
      <c r="E10" s="74"/>
      <c r="F10" s="74"/>
      <c r="G10" s="74"/>
      <c r="H10" s="74"/>
      <c r="I10" s="74"/>
      <c r="J10" s="74"/>
      <c r="K10" s="85"/>
      <c r="L10" s="85"/>
      <c r="M10" s="85"/>
      <c r="N10" s="85">
        <f>90*10^7</f>
        <v>900000000</v>
      </c>
      <c r="O10" s="85"/>
      <c r="P10" s="85"/>
      <c r="Q10" s="85"/>
      <c r="W10" s="74" t="s">
        <v>27</v>
      </c>
      <c r="X10" s="28"/>
      <c r="Y10" s="28"/>
      <c r="Z10" s="28"/>
      <c r="AA10" s="28">
        <v>9000</v>
      </c>
      <c r="AB10" s="28"/>
      <c r="AC10" s="28"/>
      <c r="AD10" s="28"/>
    </row>
    <row r="11" spans="1:30" x14ac:dyDescent="0.25">
      <c r="A11" s="39"/>
      <c r="B11" s="39"/>
      <c r="D11" s="74" t="s">
        <v>115</v>
      </c>
      <c r="E11" s="74"/>
      <c r="F11" s="74"/>
      <c r="G11" s="74"/>
      <c r="H11" s="74"/>
      <c r="I11" s="74"/>
      <c r="J11" s="74"/>
      <c r="K11" s="85">
        <v>105923495</v>
      </c>
      <c r="L11" s="86">
        <f>L29</f>
        <v>97775533.799999997</v>
      </c>
      <c r="M11" s="86">
        <f>K34</f>
        <v>119206359.09</v>
      </c>
      <c r="N11" s="86">
        <f t="shared" ref="N11:Q11" si="1">M11+(M11*0.05)</f>
        <v>125166677.04450001</v>
      </c>
      <c r="O11" s="86">
        <f t="shared" si="1"/>
        <v>131425010.89672501</v>
      </c>
      <c r="P11" s="86">
        <f t="shared" si="1"/>
        <v>137996261.44156125</v>
      </c>
      <c r="Q11" s="86">
        <f t="shared" si="1"/>
        <v>144896074.5136393</v>
      </c>
      <c r="W11" s="74" t="s">
        <v>115</v>
      </c>
      <c r="X11" s="28">
        <v>1059.23495</v>
      </c>
      <c r="Y11" s="28">
        <v>977.75533799999994</v>
      </c>
      <c r="Z11" s="28">
        <v>1192.0635909</v>
      </c>
      <c r="AA11" s="28">
        <v>1251.6667704450001</v>
      </c>
      <c r="AB11" s="28">
        <v>1314.2501089672501</v>
      </c>
      <c r="AC11" s="28">
        <v>1379.9626144156125</v>
      </c>
      <c r="AD11" s="28">
        <v>1448.9607451363929</v>
      </c>
    </row>
    <row r="12" spans="1:30" x14ac:dyDescent="0.25">
      <c r="A12" s="39"/>
      <c r="B12" s="39"/>
      <c r="D12" s="74" t="s">
        <v>98</v>
      </c>
      <c r="E12" s="74"/>
      <c r="F12" s="74"/>
      <c r="G12" s="74"/>
      <c r="H12" s="74"/>
      <c r="I12" s="74"/>
      <c r="J12" s="74"/>
      <c r="K12" s="85">
        <f>6*10^7</f>
        <v>60000000</v>
      </c>
      <c r="L12" s="85">
        <f>6*10^7</f>
        <v>60000000</v>
      </c>
      <c r="M12" s="85">
        <f t="shared" ref="M12:Q12" si="2">6*10^7</f>
        <v>60000000</v>
      </c>
      <c r="N12" s="85">
        <f t="shared" si="2"/>
        <v>60000000</v>
      </c>
      <c r="O12" s="85">
        <f t="shared" si="2"/>
        <v>60000000</v>
      </c>
      <c r="P12" s="85">
        <f t="shared" si="2"/>
        <v>60000000</v>
      </c>
      <c r="Q12" s="85">
        <f t="shared" si="2"/>
        <v>60000000</v>
      </c>
      <c r="W12" s="74" t="s">
        <v>98</v>
      </c>
      <c r="X12" s="28">
        <v>600</v>
      </c>
      <c r="Y12" s="28">
        <v>600</v>
      </c>
      <c r="Z12" s="28">
        <v>600</v>
      </c>
      <c r="AA12" s="28">
        <v>600</v>
      </c>
      <c r="AB12" s="28">
        <v>600</v>
      </c>
      <c r="AC12" s="28">
        <v>600</v>
      </c>
      <c r="AD12" s="28">
        <v>600</v>
      </c>
    </row>
    <row r="13" spans="1:30" x14ac:dyDescent="0.25">
      <c r="A13" s="39"/>
      <c r="B13" s="39"/>
      <c r="D13" s="74" t="s">
        <v>29</v>
      </c>
      <c r="E13" s="74"/>
      <c r="F13" s="74"/>
      <c r="G13" s="74"/>
      <c r="H13" s="74"/>
      <c r="I13" s="74"/>
      <c r="J13" s="74"/>
      <c r="K13" s="85">
        <f>K8*0.48%</f>
        <v>2975999.9999999995</v>
      </c>
      <c r="L13" s="85">
        <f>L8*0.48%</f>
        <v>4378094.0495999996</v>
      </c>
      <c r="M13" s="85">
        <f t="shared" ref="M13:Q13" si="3">M8*0.48%</f>
        <v>5452001.3532479992</v>
      </c>
      <c r="N13" s="85">
        <f t="shared" si="3"/>
        <v>5875199.9999999991</v>
      </c>
      <c r="O13" s="85">
        <f t="shared" si="3"/>
        <v>5875199.9999999991</v>
      </c>
      <c r="P13" s="85">
        <f t="shared" si="3"/>
        <v>5875199.9999999991</v>
      </c>
      <c r="Q13" s="85">
        <f t="shared" si="3"/>
        <v>4406400</v>
      </c>
      <c r="W13" s="74" t="s">
        <v>29</v>
      </c>
      <c r="X13" s="28">
        <v>29.759999999999994</v>
      </c>
      <c r="Y13" s="28">
        <v>43.780940495999992</v>
      </c>
      <c r="Z13" s="28">
        <v>54.520013532479993</v>
      </c>
      <c r="AA13" s="28">
        <v>58.751999999999988</v>
      </c>
      <c r="AB13" s="28">
        <v>58.751999999999988</v>
      </c>
      <c r="AC13" s="28">
        <v>58.751999999999988</v>
      </c>
      <c r="AD13" s="28">
        <v>44.064</v>
      </c>
    </row>
    <row r="14" spans="1:30" x14ac:dyDescent="0.25">
      <c r="A14" s="39"/>
      <c r="B14" s="39"/>
      <c r="D14" s="91" t="s">
        <v>104</v>
      </c>
      <c r="E14" s="91"/>
      <c r="F14" s="91"/>
      <c r="G14" s="91"/>
      <c r="H14" s="91"/>
      <c r="I14" s="91"/>
      <c r="J14" s="91"/>
      <c r="K14" s="92">
        <f>3*10^7</f>
        <v>30000000</v>
      </c>
      <c r="L14" s="92">
        <f>K14</f>
        <v>30000000</v>
      </c>
      <c r="M14" s="92">
        <f t="shared" ref="M14:Q14" si="4">L14</f>
        <v>30000000</v>
      </c>
      <c r="N14" s="92">
        <f t="shared" si="4"/>
        <v>30000000</v>
      </c>
      <c r="O14" s="92">
        <f t="shared" si="4"/>
        <v>30000000</v>
      </c>
      <c r="P14" s="92">
        <f t="shared" si="4"/>
        <v>30000000</v>
      </c>
      <c r="Q14" s="92">
        <f t="shared" si="4"/>
        <v>30000000</v>
      </c>
      <c r="W14" s="91" t="s">
        <v>104</v>
      </c>
      <c r="X14" s="28">
        <v>300</v>
      </c>
      <c r="Y14" s="28">
        <v>300</v>
      </c>
      <c r="Z14" s="28">
        <v>300</v>
      </c>
      <c r="AA14" s="28">
        <v>300</v>
      </c>
      <c r="AB14" s="28">
        <v>300</v>
      </c>
      <c r="AC14" s="28">
        <v>300</v>
      </c>
      <c r="AD14" s="28">
        <v>300</v>
      </c>
    </row>
    <row r="15" spans="1:30" x14ac:dyDescent="0.25">
      <c r="A15" s="39"/>
      <c r="B15" s="39"/>
      <c r="D15" s="74" t="s">
        <v>91</v>
      </c>
      <c r="E15" s="74"/>
      <c r="F15" s="74"/>
      <c r="G15" s="74"/>
      <c r="H15" s="74"/>
      <c r="I15" s="74"/>
      <c r="J15" s="74"/>
      <c r="K15" s="85">
        <f>K8-K10-K11-K12-K14-K13</f>
        <v>421100505</v>
      </c>
      <c r="L15" s="85">
        <f t="shared" ref="L15:Q15" si="5">L8-L10-L11-L12-L14-L13</f>
        <v>719949299.15040004</v>
      </c>
      <c r="M15" s="85">
        <f t="shared" si="5"/>
        <v>921175254.81675196</v>
      </c>
      <c r="N15" s="85">
        <f t="shared" si="5"/>
        <v>102958122.95550001</v>
      </c>
      <c r="O15" s="85">
        <f t="shared" si="5"/>
        <v>996699789.10327506</v>
      </c>
      <c r="P15" s="85">
        <f t="shared" si="5"/>
        <v>990128538.55843878</v>
      </c>
      <c r="Q15" s="85">
        <f t="shared" si="5"/>
        <v>678697525.48636067</v>
      </c>
      <c r="W15" s="74" t="s">
        <v>91</v>
      </c>
      <c r="X15" s="28">
        <v>4211.0050499999998</v>
      </c>
      <c r="Y15" s="28">
        <v>7199.4929915040002</v>
      </c>
      <c r="Z15" s="28">
        <v>9211.7525481675202</v>
      </c>
      <c r="AA15" s="28">
        <v>1029.5812295550002</v>
      </c>
      <c r="AB15" s="28">
        <v>9966.99789103275</v>
      </c>
      <c r="AC15" s="28">
        <v>9901.2853855843878</v>
      </c>
      <c r="AD15" s="28">
        <v>6786.975254863607</v>
      </c>
    </row>
    <row r="16" spans="1:30" x14ac:dyDescent="0.25">
      <c r="A16" s="39"/>
      <c r="B16" s="39"/>
      <c r="D16" s="97" t="s">
        <v>92</v>
      </c>
      <c r="E16" s="74"/>
      <c r="F16" s="74"/>
      <c r="G16" s="74"/>
      <c r="H16" s="74"/>
      <c r="I16" s="74"/>
      <c r="J16" s="74"/>
      <c r="K16" s="87">
        <f t="shared" ref="K16:Q16" si="6">K15/K8</f>
        <v>0.67919436290322577</v>
      </c>
      <c r="L16" s="87">
        <f>L15/L8</f>
        <v>0.78932900864421851</v>
      </c>
      <c r="M16" s="87">
        <f t="shared" si="6"/>
        <v>0.81101249552813126</v>
      </c>
      <c r="N16" s="87">
        <f t="shared" si="6"/>
        <v>8.4116113525735295E-2</v>
      </c>
      <c r="O16" s="87">
        <f t="shared" si="6"/>
        <v>0.8142972133196692</v>
      </c>
      <c r="P16" s="87">
        <f t="shared" si="6"/>
        <v>0.80892854457388785</v>
      </c>
      <c r="Q16" s="87">
        <f t="shared" si="6"/>
        <v>0.73932192318775669</v>
      </c>
      <c r="W16" s="97" t="s">
        <v>92</v>
      </c>
      <c r="X16" s="35">
        <v>0.67919436290322577</v>
      </c>
      <c r="Y16" s="35">
        <v>0.78932900864421851</v>
      </c>
      <c r="Z16" s="35">
        <v>0.81101249552813126</v>
      </c>
      <c r="AA16" s="35">
        <v>8.4116113525735295E-2</v>
      </c>
      <c r="AB16" s="35">
        <v>0.8142972133196692</v>
      </c>
      <c r="AC16" s="35">
        <v>0.80892854457388785</v>
      </c>
      <c r="AD16" s="35">
        <v>0.73932192318775669</v>
      </c>
    </row>
    <row r="17" spans="1:30" x14ac:dyDescent="0.25">
      <c r="A17" s="39"/>
      <c r="B17" s="39"/>
      <c r="D17" s="74" t="s">
        <v>93</v>
      </c>
      <c r="E17" s="74"/>
      <c r="F17" s="74"/>
      <c r="G17" s="74"/>
      <c r="H17" s="74"/>
      <c r="I17" s="74"/>
      <c r="J17" s="74"/>
      <c r="K17" s="74">
        <f>Depriciation!G18</f>
        <v>1382285.7142857143</v>
      </c>
      <c r="L17" s="74">
        <f>K17</f>
        <v>1382285.7142857143</v>
      </c>
      <c r="M17" s="74">
        <f>L17</f>
        <v>1382285.7142857143</v>
      </c>
      <c r="N17" s="74">
        <f>M17</f>
        <v>1382285.7142857143</v>
      </c>
      <c r="O17" s="74">
        <f>N17</f>
        <v>1382285.7142857143</v>
      </c>
      <c r="P17" s="74">
        <f>O17</f>
        <v>1382285.7142857143</v>
      </c>
      <c r="Q17" s="74">
        <v>0</v>
      </c>
      <c r="W17" s="74" t="s">
        <v>93</v>
      </c>
      <c r="X17" s="28">
        <v>13.822857142857144</v>
      </c>
      <c r="Y17" s="28">
        <v>13.822857142857144</v>
      </c>
      <c r="Z17" s="28">
        <v>13.822857142857144</v>
      </c>
      <c r="AA17" s="28">
        <v>13.822857142857144</v>
      </c>
      <c r="AB17" s="28">
        <v>13.822857142857144</v>
      </c>
      <c r="AC17" s="28">
        <v>13.822857142857144</v>
      </c>
      <c r="AD17" s="28">
        <v>0</v>
      </c>
    </row>
    <row r="18" spans="1:30" x14ac:dyDescent="0.25">
      <c r="A18" s="39" t="s">
        <v>33</v>
      </c>
      <c r="B18" s="39">
        <v>42117291.5625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W18" s="74"/>
      <c r="X18" s="28"/>
      <c r="Y18" s="28"/>
      <c r="Z18" s="28"/>
      <c r="AA18" s="28"/>
      <c r="AB18" s="28"/>
      <c r="AC18" s="28"/>
      <c r="AD18" s="28"/>
    </row>
    <row r="19" spans="1:30" x14ac:dyDescent="0.25">
      <c r="A19" s="39"/>
      <c r="B19" s="39"/>
      <c r="D19" s="74" t="s">
        <v>15</v>
      </c>
      <c r="E19" s="74"/>
      <c r="F19" s="74"/>
      <c r="G19" s="74"/>
      <c r="H19" s="74"/>
      <c r="I19" s="74"/>
      <c r="J19" s="74"/>
      <c r="K19" s="88">
        <f>K15-K17</f>
        <v>419718219.28571427</v>
      </c>
      <c r="L19" s="88">
        <f>L15-L17</f>
        <v>718567013.43611431</v>
      </c>
      <c r="M19" s="88">
        <f>M15-M17</f>
        <v>919792969.10246623</v>
      </c>
      <c r="N19" s="88">
        <f t="shared" ref="N19:Q19" si="7">N15-N17</f>
        <v>101575837.24121429</v>
      </c>
      <c r="O19" s="88">
        <f t="shared" si="7"/>
        <v>995317503.38898933</v>
      </c>
      <c r="P19" s="88">
        <f t="shared" si="7"/>
        <v>988746252.84415305</v>
      </c>
      <c r="Q19" s="88">
        <f t="shared" si="7"/>
        <v>678697525.48636067</v>
      </c>
      <c r="W19" s="74" t="s">
        <v>15</v>
      </c>
      <c r="X19" s="28">
        <v>4197.1821928571426</v>
      </c>
      <c r="Y19" s="28">
        <v>7185.670134361143</v>
      </c>
      <c r="Z19" s="28">
        <v>9197.929691024663</v>
      </c>
      <c r="AA19" s="28">
        <v>1015.7583724121429</v>
      </c>
      <c r="AB19" s="28">
        <v>9953.1750338898928</v>
      </c>
      <c r="AC19" s="28">
        <v>9887.4625284415306</v>
      </c>
      <c r="AD19" s="28">
        <v>6786.975254863607</v>
      </c>
    </row>
    <row r="20" spans="1:30" x14ac:dyDescent="0.25">
      <c r="A20" s="39" t="s">
        <v>36</v>
      </c>
      <c r="B20" s="39">
        <f>B18/5</f>
        <v>8423458.3125</v>
      </c>
      <c r="D20" s="97" t="s">
        <v>94</v>
      </c>
      <c r="E20" s="89"/>
      <c r="F20" s="89"/>
      <c r="G20" s="89"/>
      <c r="H20" s="89"/>
      <c r="I20" s="89"/>
      <c r="J20" s="89"/>
      <c r="K20" s="87">
        <f t="shared" ref="K20:Q20" si="8">K19/K8</f>
        <v>0.67696486981566817</v>
      </c>
      <c r="L20" s="87">
        <f t="shared" si="8"/>
        <v>0.78781351552017809</v>
      </c>
      <c r="M20" s="87">
        <f t="shared" si="8"/>
        <v>0.80979551647793013</v>
      </c>
      <c r="N20" s="87">
        <f t="shared" si="8"/>
        <v>8.2986795131711019E-2</v>
      </c>
      <c r="O20" s="87">
        <f t="shared" si="8"/>
        <v>0.8131678949256449</v>
      </c>
      <c r="P20" s="87">
        <f t="shared" si="8"/>
        <v>0.80779922617986355</v>
      </c>
      <c r="Q20" s="87">
        <f t="shared" si="8"/>
        <v>0.73932192318775669</v>
      </c>
      <c r="W20" s="97" t="s">
        <v>94</v>
      </c>
      <c r="X20" s="35">
        <v>0.67696486981566817</v>
      </c>
      <c r="Y20" s="35">
        <v>0.78781351552017809</v>
      </c>
      <c r="Z20" s="35">
        <v>0.80979551647793013</v>
      </c>
      <c r="AA20" s="35">
        <v>8.2986795131711019E-2</v>
      </c>
      <c r="AB20" s="35">
        <v>0.8131678949256449</v>
      </c>
      <c r="AC20" s="35">
        <v>0.80779922617986355</v>
      </c>
      <c r="AD20" s="35">
        <v>0.73932192318775669</v>
      </c>
    </row>
    <row r="21" spans="1:30" x14ac:dyDescent="0.25">
      <c r="A21" s="74"/>
      <c r="B21" s="74"/>
      <c r="D21" s="74" t="s">
        <v>14</v>
      </c>
      <c r="E21" s="74"/>
      <c r="F21" s="74"/>
      <c r="G21" s="74"/>
      <c r="H21" s="74"/>
      <c r="I21" s="74"/>
      <c r="J21" s="74"/>
      <c r="K21" s="85">
        <f>'Loan Schedule &amp; WC'!E12</f>
        <v>699421400</v>
      </c>
      <c r="L21" s="85">
        <f>'Loan Schedule &amp; WC'!E13</f>
        <v>629668154.55016112</v>
      </c>
      <c r="M21" s="85">
        <f>'Loan Schedule &amp; WC'!E14</f>
        <v>551684026.13724136</v>
      </c>
      <c r="N21" s="85">
        <f>'Loan Schedule &amp; WC'!E15</f>
        <v>464497770.57159716</v>
      </c>
      <c r="O21" s="85">
        <f>'Loan Schedule &amp; WC'!E16</f>
        <v>367023536.84920686</v>
      </c>
      <c r="P21" s="85">
        <f>'Loan Schedule &amp; WC'!E17</f>
        <v>258047343.54757452</v>
      </c>
      <c r="Q21" s="85">
        <f>'Loan Schedule &amp; WC'!E18</f>
        <v>136211959.43634957</v>
      </c>
      <c r="W21" s="74" t="s">
        <v>14</v>
      </c>
      <c r="X21" s="28">
        <v>6994.2139999999999</v>
      </c>
      <c r="Y21" s="28">
        <v>6296.6815455016113</v>
      </c>
      <c r="Z21" s="28">
        <v>5516.8402613724138</v>
      </c>
      <c r="AA21" s="28">
        <v>4644.9777057159718</v>
      </c>
      <c r="AB21" s="28">
        <v>3670.2353684920686</v>
      </c>
      <c r="AC21" s="28">
        <v>2580.4734354757452</v>
      </c>
      <c r="AD21" s="28">
        <v>1362.1195943634957</v>
      </c>
    </row>
    <row r="22" spans="1:30" x14ac:dyDescent="0.25">
      <c r="A22" s="39" t="s">
        <v>37</v>
      </c>
      <c r="B22" s="39">
        <f>402.7*10^7</f>
        <v>4027000000</v>
      </c>
      <c r="D22" s="74"/>
      <c r="E22" s="74"/>
      <c r="F22" s="74"/>
      <c r="G22" s="74"/>
      <c r="H22" s="74"/>
      <c r="I22" s="74"/>
      <c r="J22" s="74"/>
      <c r="K22" s="85" t="s">
        <v>123</v>
      </c>
      <c r="L22" s="85"/>
      <c r="M22" s="85"/>
      <c r="N22" s="85"/>
      <c r="O22" s="85"/>
      <c r="P22" s="85"/>
      <c r="Q22" s="85"/>
      <c r="W22" s="74"/>
      <c r="X22" t="s">
        <v>123</v>
      </c>
    </row>
    <row r="23" spans="1:30" x14ac:dyDescent="0.25">
      <c r="A23" s="39" t="s">
        <v>41</v>
      </c>
      <c r="B23" s="39">
        <f>259.8*10^7</f>
        <v>2598000000</v>
      </c>
      <c r="D23" s="74" t="s">
        <v>28</v>
      </c>
      <c r="E23" s="74"/>
      <c r="F23" s="74"/>
      <c r="G23" s="74"/>
      <c r="H23" s="74"/>
      <c r="I23" s="74"/>
      <c r="J23" s="74"/>
      <c r="K23" s="85">
        <f>K19-K21</f>
        <v>-279703180.71428573</v>
      </c>
      <c r="L23" s="85">
        <f t="shared" ref="L23:Q23" si="9">L19-L21</f>
        <v>88898858.885953188</v>
      </c>
      <c r="M23" s="85">
        <f t="shared" si="9"/>
        <v>368108942.96522486</v>
      </c>
      <c r="N23" s="85">
        <f t="shared" si="9"/>
        <v>-362921933.33038288</v>
      </c>
      <c r="O23" s="85">
        <f t="shared" si="9"/>
        <v>628293966.53978252</v>
      </c>
      <c r="P23" s="85">
        <f t="shared" si="9"/>
        <v>730698909.29657853</v>
      </c>
      <c r="Q23" s="85">
        <f t="shared" si="9"/>
        <v>542485566.05001116</v>
      </c>
      <c r="W23" s="74" t="s">
        <v>28</v>
      </c>
      <c r="X23" s="28">
        <v>-2797.0318071428574</v>
      </c>
      <c r="Y23" s="28">
        <v>888.98858885953189</v>
      </c>
      <c r="Z23" s="28">
        <v>3681.0894296522488</v>
      </c>
      <c r="AA23" s="28">
        <v>-3629.219333303829</v>
      </c>
      <c r="AB23" s="28">
        <v>6282.9396653978256</v>
      </c>
      <c r="AC23" s="28">
        <v>7306.9890929657849</v>
      </c>
      <c r="AD23" s="28">
        <v>5424.8556605001113</v>
      </c>
    </row>
    <row r="24" spans="1:30" x14ac:dyDescent="0.25">
      <c r="A24" s="39"/>
      <c r="B24" s="39">
        <f>B22-B23</f>
        <v>1429000000</v>
      </c>
      <c r="D24" s="74" t="s">
        <v>30</v>
      </c>
      <c r="E24" s="74"/>
      <c r="F24" s="74"/>
      <c r="G24" s="74"/>
      <c r="H24" s="74"/>
      <c r="I24" s="74"/>
      <c r="J24" s="74"/>
      <c r="K24" s="85">
        <f>K23*0.25*0</f>
        <v>0</v>
      </c>
      <c r="L24" s="85">
        <f>L23*0.25</f>
        <v>22224714.721488297</v>
      </c>
      <c r="M24" s="85">
        <f>M23*0.25*0</f>
        <v>0</v>
      </c>
      <c r="N24" s="85">
        <v>0</v>
      </c>
      <c r="O24" s="85">
        <f>O23*0.25</f>
        <v>157073491.63494563</v>
      </c>
      <c r="P24" s="85">
        <f>P23*0.25</f>
        <v>182674727.32414463</v>
      </c>
      <c r="Q24" s="85">
        <f>Q23*0.25</f>
        <v>135621391.51250279</v>
      </c>
      <c r="W24" s="74" t="s">
        <v>30</v>
      </c>
      <c r="X24" s="28"/>
      <c r="Y24" s="28">
        <v>222.24714721488297</v>
      </c>
      <c r="Z24" s="28"/>
      <c r="AA24" s="28"/>
      <c r="AB24" s="28">
        <v>1570.7349163494564</v>
      </c>
      <c r="AC24" s="28">
        <v>1826.7472732414462</v>
      </c>
      <c r="AD24" s="28">
        <v>1356.2139151250278</v>
      </c>
    </row>
    <row r="25" spans="1:30" x14ac:dyDescent="0.25">
      <c r="A25" s="39" t="s">
        <v>100</v>
      </c>
      <c r="B25" s="39">
        <f>107*10^7</f>
        <v>1070000000</v>
      </c>
      <c r="D25" s="98" t="s">
        <v>31</v>
      </c>
      <c r="E25" s="98"/>
      <c r="F25" s="98"/>
      <c r="G25" s="98"/>
      <c r="H25" s="98"/>
      <c r="I25" s="98"/>
      <c r="J25" s="98"/>
      <c r="K25" s="99">
        <f t="shared" ref="K25:Q25" si="10">K23-K24</f>
        <v>-279703180.71428573</v>
      </c>
      <c r="L25" s="99">
        <f t="shared" si="10"/>
        <v>66674144.164464891</v>
      </c>
      <c r="M25" s="99">
        <f t="shared" si="10"/>
        <v>368108942.96522486</v>
      </c>
      <c r="N25" s="99">
        <f t="shared" si="10"/>
        <v>-362921933.33038288</v>
      </c>
      <c r="O25" s="99">
        <f t="shared" si="10"/>
        <v>471220474.90483689</v>
      </c>
      <c r="P25" s="99">
        <f t="shared" si="10"/>
        <v>548024181.97243392</v>
      </c>
      <c r="Q25" s="99">
        <f t="shared" si="10"/>
        <v>406864174.53750837</v>
      </c>
      <c r="W25" s="98" t="s">
        <v>31</v>
      </c>
      <c r="X25" s="28">
        <v>-2797.0318071428574</v>
      </c>
      <c r="Y25" s="28">
        <v>666.74144164464894</v>
      </c>
      <c r="Z25" s="28">
        <v>3681.0894296522488</v>
      </c>
      <c r="AA25" s="28">
        <v>-3629.219333303829</v>
      </c>
      <c r="AB25" s="28">
        <v>4712.2047490483692</v>
      </c>
      <c r="AC25" s="28">
        <v>5480.2418197243396</v>
      </c>
      <c r="AD25" s="28">
        <v>4068.6417453750837</v>
      </c>
    </row>
    <row r="26" spans="1:30" x14ac:dyDescent="0.25">
      <c r="A26" s="39"/>
      <c r="B26" s="39">
        <f>SUM(B24:B25)</f>
        <v>2499000000</v>
      </c>
    </row>
    <row r="28" spans="1:30" x14ac:dyDescent="0.25">
      <c r="D28" s="74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30" x14ac:dyDescent="0.25">
      <c r="A29" s="75" t="s">
        <v>103</v>
      </c>
      <c r="B29" s="75" t="s">
        <v>108</v>
      </c>
      <c r="D29" t="s">
        <v>117</v>
      </c>
      <c r="K29">
        <f>7759963*12</f>
        <v>93119556</v>
      </c>
      <c r="L29">
        <f>K29+(K29*0.05)</f>
        <v>97775533.799999997</v>
      </c>
    </row>
    <row r="30" spans="1:30" x14ac:dyDescent="0.25">
      <c r="D30" t="s">
        <v>118</v>
      </c>
      <c r="K30" s="28"/>
      <c r="L30" s="28"/>
      <c r="M30" s="28"/>
      <c r="N30" s="103" t="s">
        <v>126</v>
      </c>
      <c r="O30" s="28"/>
      <c r="P30" s="28"/>
      <c r="Q30" s="28"/>
    </row>
    <row r="31" spans="1:30" x14ac:dyDescent="0.25">
      <c r="D31" t="s">
        <v>116</v>
      </c>
      <c r="K31" s="28">
        <v>119351</v>
      </c>
      <c r="L31" s="28"/>
      <c r="M31" s="28"/>
      <c r="N31" s="103"/>
      <c r="O31" s="28"/>
      <c r="P31" s="28"/>
      <c r="Q31" s="28"/>
    </row>
    <row r="32" spans="1:30" x14ac:dyDescent="0.25">
      <c r="D32" t="s">
        <v>120</v>
      </c>
      <c r="K32" s="28">
        <f>K31*11*12</f>
        <v>15754332</v>
      </c>
      <c r="L32" s="28"/>
      <c r="M32" s="28"/>
      <c r="N32" s="103"/>
      <c r="O32" s="28"/>
      <c r="P32" s="28"/>
      <c r="Q32" s="28"/>
    </row>
    <row r="33" spans="1:17" x14ac:dyDescent="0.25">
      <c r="D33" t="s">
        <v>121</v>
      </c>
      <c r="K33" s="28">
        <f>L11+K32</f>
        <v>113529865.8</v>
      </c>
      <c r="L33" s="28"/>
      <c r="M33" s="28"/>
      <c r="N33" s="103"/>
      <c r="O33" s="28"/>
      <c r="P33" s="28"/>
      <c r="Q33" s="28"/>
    </row>
    <row r="34" spans="1:17" x14ac:dyDescent="0.25">
      <c r="D34" t="s">
        <v>119</v>
      </c>
      <c r="K34" s="43">
        <f>K33+(K33*0.05)</f>
        <v>119206359.09</v>
      </c>
      <c r="L34" s="28"/>
      <c r="M34" s="28"/>
      <c r="N34" s="28"/>
      <c r="O34" s="28"/>
      <c r="P34" s="28"/>
      <c r="Q34" s="28"/>
    </row>
    <row r="35" spans="1:17" x14ac:dyDescent="0.25">
      <c r="L35" s="43"/>
      <c r="M35" s="43"/>
      <c r="N35" s="43"/>
      <c r="O35" s="43"/>
      <c r="P35" s="43"/>
      <c r="Q35" s="43"/>
    </row>
    <row r="36" spans="1:17" x14ac:dyDescent="0.25">
      <c r="K36" s="35"/>
      <c r="N36" s="35"/>
    </row>
    <row r="37" spans="1:17" x14ac:dyDescent="0.25">
      <c r="K37" s="35"/>
      <c r="L37" s="35"/>
      <c r="M37" s="35"/>
      <c r="N37" s="35"/>
      <c r="O37" s="35"/>
      <c r="P37" s="35"/>
      <c r="Q37" s="35"/>
    </row>
    <row r="38" spans="1:17" x14ac:dyDescent="0.25">
      <c r="K38" s="35"/>
      <c r="L38" s="35"/>
      <c r="M38" s="35"/>
      <c r="N38" s="35"/>
      <c r="O38" s="35"/>
      <c r="P38" s="35"/>
      <c r="Q38" s="35"/>
    </row>
    <row r="39" spans="1:17" x14ac:dyDescent="0.25">
      <c r="A39" s="37" t="s">
        <v>35</v>
      </c>
      <c r="K39" s="35"/>
      <c r="L39" s="35"/>
      <c r="M39" s="35"/>
      <c r="N39" s="35"/>
      <c r="O39" s="35"/>
      <c r="P39" s="35"/>
      <c r="Q39" s="35"/>
    </row>
    <row r="40" spans="1:17" x14ac:dyDescent="0.25">
      <c r="L40" s="35"/>
      <c r="M40" s="35"/>
      <c r="N40" s="35"/>
      <c r="O40" s="35"/>
      <c r="P40" s="35"/>
      <c r="Q40" s="35"/>
    </row>
    <row r="57" spans="1:1" x14ac:dyDescent="0.25">
      <c r="A57" s="37" t="s">
        <v>32</v>
      </c>
    </row>
    <row r="63" spans="1:1" x14ac:dyDescent="0.25">
      <c r="A63" s="37" t="s">
        <v>114</v>
      </c>
    </row>
  </sheetData>
  <mergeCells count="1">
    <mergeCell ref="N30:N33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B44" sqref="B44:I56"/>
    </sheetView>
  </sheetViews>
  <sheetFormatPr defaultRowHeight="15" x14ac:dyDescent="0.25"/>
  <cols>
    <col min="2" max="2" width="18.85546875" bestFit="1" customWidth="1"/>
    <col min="3" max="3" width="26.140625" bestFit="1" customWidth="1"/>
    <col min="4" max="5" width="18" bestFit="1" customWidth="1"/>
    <col min="6" max="8" width="16.85546875" bestFit="1" customWidth="1"/>
    <col min="9" max="9" width="15.28515625" bestFit="1" customWidth="1"/>
    <col min="11" max="11" width="14.28515625" bestFit="1" customWidth="1"/>
  </cols>
  <sheetData>
    <row r="2" spans="2:9" hidden="1" x14ac:dyDescent="0.25"/>
    <row r="3" spans="2:9" hidden="1" x14ac:dyDescent="0.25">
      <c r="B3" s="104" t="s">
        <v>107</v>
      </c>
      <c r="C3" s="104"/>
      <c r="E3">
        <f>Projections!B24</f>
        <v>1429000000</v>
      </c>
    </row>
    <row r="4" spans="2:9" hidden="1" x14ac:dyDescent="0.25"/>
    <row r="5" spans="2:9" hidden="1" x14ac:dyDescent="0.25">
      <c r="C5">
        <v>2021</v>
      </c>
      <c r="D5">
        <v>2022</v>
      </c>
      <c r="E5">
        <v>2023</v>
      </c>
      <c r="F5">
        <v>2024</v>
      </c>
      <c r="G5">
        <v>2025</v>
      </c>
      <c r="H5">
        <v>2026</v>
      </c>
      <c r="I5">
        <v>2027</v>
      </c>
    </row>
    <row r="6" spans="2:9" hidden="1" x14ac:dyDescent="0.25">
      <c r="B6" t="s">
        <v>0</v>
      </c>
      <c r="C6" s="28">
        <f>Projections!$B$3*2</f>
        <v>1224000000</v>
      </c>
      <c r="D6" s="28">
        <f>Projections!$B$3*2</f>
        <v>1224000000</v>
      </c>
      <c r="E6" s="28">
        <f>Projections!$B$3*2</f>
        <v>1224000000</v>
      </c>
      <c r="F6" s="28">
        <f>Projections!$B$3*2</f>
        <v>1224000000</v>
      </c>
      <c r="G6" s="28">
        <f>Projections!$B$3*2</f>
        <v>1224000000</v>
      </c>
      <c r="H6" s="28">
        <f>Projections!$B$3*2</f>
        <v>1224000000</v>
      </c>
      <c r="I6" s="28">
        <f>Projections!$B$3</f>
        <v>612000000</v>
      </c>
    </row>
    <row r="7" spans="2:9" hidden="1" x14ac:dyDescent="0.25">
      <c r="C7" s="28">
        <f t="shared" ref="C7:I7" si="0">(C6/SUM($C$6:$I$6))*$E$3</f>
        <v>219846153.84615386</v>
      </c>
      <c r="D7" s="28">
        <f t="shared" si="0"/>
        <v>219846153.84615386</v>
      </c>
      <c r="E7" s="28">
        <f t="shared" si="0"/>
        <v>219846153.84615386</v>
      </c>
      <c r="F7" s="28">
        <f t="shared" si="0"/>
        <v>219846153.84615386</v>
      </c>
      <c r="G7" s="28">
        <f t="shared" si="0"/>
        <v>219846153.84615386</v>
      </c>
      <c r="H7" s="28">
        <f t="shared" si="0"/>
        <v>219846153.84615386</v>
      </c>
      <c r="I7" s="28">
        <f t="shared" si="0"/>
        <v>109923076.92307693</v>
      </c>
    </row>
    <row r="8" spans="2:9" hidden="1" x14ac:dyDescent="0.25">
      <c r="C8" s="28"/>
      <c r="D8" s="28"/>
      <c r="E8" s="28"/>
      <c r="F8" s="28"/>
      <c r="G8" s="28"/>
      <c r="H8" s="28"/>
      <c r="I8" s="28"/>
    </row>
    <row r="9" spans="2:9" hidden="1" x14ac:dyDescent="0.25">
      <c r="B9" t="s">
        <v>99</v>
      </c>
      <c r="C9" s="28">
        <f>107*10^7</f>
        <v>1070000000</v>
      </c>
      <c r="D9" s="83">
        <f t="shared" ref="D9:I9" si="1">(D6/SUM($D$6:$I$6))*$C$9</f>
        <v>194545454.54545456</v>
      </c>
      <c r="E9" s="28">
        <f t="shared" si="1"/>
        <v>194545454.54545456</v>
      </c>
      <c r="F9" s="28">
        <f t="shared" si="1"/>
        <v>194545454.54545456</v>
      </c>
      <c r="G9" s="28">
        <f t="shared" si="1"/>
        <v>194545454.54545456</v>
      </c>
      <c r="H9" s="28">
        <f t="shared" si="1"/>
        <v>194545454.54545456</v>
      </c>
      <c r="I9" s="28">
        <f t="shared" si="1"/>
        <v>97272727.272727281</v>
      </c>
    </row>
    <row r="10" spans="2:9" hidden="1" x14ac:dyDescent="0.25">
      <c r="C10" s="28"/>
      <c r="D10" s="28"/>
      <c r="E10" s="28"/>
      <c r="F10" s="28"/>
      <c r="G10" s="28"/>
      <c r="H10" s="28"/>
      <c r="I10" s="28"/>
    </row>
    <row r="11" spans="2:9" hidden="1" x14ac:dyDescent="0.25">
      <c r="B11" s="76" t="s">
        <v>101</v>
      </c>
      <c r="C11" s="82">
        <f>C6-C7+C9</f>
        <v>2074153846.1538463</v>
      </c>
      <c r="D11" s="82">
        <f t="shared" ref="D11:I11" si="2">D6-D7-D9</f>
        <v>809608391.60839152</v>
      </c>
      <c r="E11" s="82">
        <f t="shared" si="2"/>
        <v>809608391.60839152</v>
      </c>
      <c r="F11" s="82">
        <f t="shared" si="2"/>
        <v>809608391.60839152</v>
      </c>
      <c r="G11" s="82">
        <f t="shared" si="2"/>
        <v>809608391.60839152</v>
      </c>
      <c r="H11" s="82">
        <f t="shared" si="2"/>
        <v>809608391.60839152</v>
      </c>
      <c r="I11" s="82">
        <f t="shared" si="2"/>
        <v>404804195.80419576</v>
      </c>
    </row>
    <row r="12" spans="2:9" hidden="1" x14ac:dyDescent="0.25"/>
    <row r="15" spans="2:9" x14ac:dyDescent="0.25">
      <c r="C15">
        <v>100000</v>
      </c>
    </row>
    <row r="17" spans="2:11" x14ac:dyDescent="0.25">
      <c r="B17" s="55" t="s">
        <v>12</v>
      </c>
      <c r="C17" s="55">
        <v>2021</v>
      </c>
      <c r="D17" s="55">
        <v>2022</v>
      </c>
      <c r="E17" s="55">
        <v>2023</v>
      </c>
      <c r="F17" s="55">
        <v>2024</v>
      </c>
      <c r="G17" s="55">
        <v>2025</v>
      </c>
      <c r="H17" s="55">
        <v>2026</v>
      </c>
      <c r="I17" s="55">
        <v>2027</v>
      </c>
    </row>
    <row r="18" spans="2:11" x14ac:dyDescent="0.25">
      <c r="B18" s="39" t="s">
        <v>0</v>
      </c>
      <c r="C18" s="40">
        <f>2597960176+62*10^7</f>
        <v>3217960176</v>
      </c>
      <c r="D18" s="40">
        <f>Projections!$B$3*2+D27</f>
        <v>2265590929</v>
      </c>
      <c r="E18" s="40">
        <f>Projections!$B$3*2+(1.66*61.2)*10^7</f>
        <v>2239920000</v>
      </c>
      <c r="F18" s="40">
        <f>Projections!$B$3*2</f>
        <v>1224000000</v>
      </c>
      <c r="G18" s="40">
        <f>Projections!$B$3*2</f>
        <v>1224000000</v>
      </c>
      <c r="H18" s="40">
        <f>Projections!$B$3*2</f>
        <v>1224000000</v>
      </c>
      <c r="I18" s="40">
        <f>(Projections!B3*2)*0.75</f>
        <v>918000000</v>
      </c>
    </row>
    <row r="19" spans="2:11" x14ac:dyDescent="0.25">
      <c r="B19" s="39"/>
      <c r="C19" s="39"/>
      <c r="D19" s="39"/>
      <c r="E19" s="39"/>
      <c r="F19" s="39"/>
      <c r="G19" s="39"/>
      <c r="H19" s="39"/>
      <c r="I19" s="39"/>
    </row>
    <row r="20" spans="2:11" x14ac:dyDescent="0.25">
      <c r="B20" s="39" t="s">
        <v>109</v>
      </c>
      <c r="C20" s="40">
        <v>2597960176</v>
      </c>
      <c r="D20" s="40">
        <f>K20</f>
        <v>1353488002</v>
      </c>
      <c r="E20" s="43">
        <f>D29</f>
        <v>1104086384.74</v>
      </c>
      <c r="G20" s="40"/>
      <c r="H20" s="40"/>
      <c r="I20" s="40"/>
      <c r="K20" s="43">
        <f>3951448178-C20</f>
        <v>1353488002</v>
      </c>
    </row>
    <row r="21" spans="2:11" x14ac:dyDescent="0.25">
      <c r="B21" s="39"/>
      <c r="C21" s="39"/>
      <c r="D21" s="39"/>
      <c r="E21" s="39"/>
      <c r="F21" s="39"/>
      <c r="G21" s="39"/>
      <c r="H21" s="39"/>
      <c r="I21" s="39"/>
      <c r="K21">
        <v>1224000000</v>
      </c>
    </row>
    <row r="22" spans="2:11" x14ac:dyDescent="0.25">
      <c r="B22" s="93" t="s">
        <v>110</v>
      </c>
      <c r="C22" s="94">
        <f>C18-C20</f>
        <v>620000000</v>
      </c>
      <c r="D22" s="94">
        <f>D18-D20</f>
        <v>912102927</v>
      </c>
      <c r="E22" s="94">
        <f>E18-E20</f>
        <v>1135833615.26</v>
      </c>
      <c r="F22" s="94">
        <f>F18-F20</f>
        <v>1224000000</v>
      </c>
      <c r="G22" s="94">
        <f t="shared" ref="G22:I22" si="3">G18-G20</f>
        <v>1224000000</v>
      </c>
      <c r="H22" s="94">
        <f t="shared" si="3"/>
        <v>1224000000</v>
      </c>
      <c r="I22" s="94">
        <f t="shared" si="3"/>
        <v>918000000</v>
      </c>
      <c r="K22" s="43">
        <f>K20-K21</f>
        <v>129488002</v>
      </c>
    </row>
    <row r="23" spans="2:11" x14ac:dyDescent="0.25">
      <c r="K23">
        <f>3.92*62</f>
        <v>243.04</v>
      </c>
    </row>
    <row r="24" spans="2:11" x14ac:dyDescent="0.25">
      <c r="K24">
        <f>1.66*62</f>
        <v>102.92</v>
      </c>
    </row>
    <row r="26" spans="2:11" x14ac:dyDescent="0.25">
      <c r="K26" s="40">
        <f>3951448178-C20</f>
        <v>1353488002</v>
      </c>
    </row>
    <row r="27" spans="2:11" x14ac:dyDescent="0.25">
      <c r="C27" t="s">
        <v>111</v>
      </c>
      <c r="D27" s="28">
        <f>4026960000-2985369071</f>
        <v>1041590929</v>
      </c>
      <c r="F27" s="28">
        <v>1041590929</v>
      </c>
    </row>
    <row r="28" spans="2:11" x14ac:dyDescent="0.25">
      <c r="C28" t="s">
        <v>124</v>
      </c>
      <c r="D28" s="28">
        <f>D27*6%</f>
        <v>62495455.739999995</v>
      </c>
    </row>
    <row r="29" spans="2:11" x14ac:dyDescent="0.25">
      <c r="D29" s="40">
        <f>D27+D28</f>
        <v>1104086384.74</v>
      </c>
    </row>
    <row r="32" spans="2:11" x14ac:dyDescent="0.25">
      <c r="B32" s="55" t="s">
        <v>12</v>
      </c>
      <c r="C32" s="55">
        <v>2021</v>
      </c>
      <c r="D32" s="55">
        <v>2022</v>
      </c>
      <c r="E32" s="55">
        <v>2023</v>
      </c>
      <c r="F32" s="55">
        <v>2024</v>
      </c>
      <c r="G32" s="55">
        <v>2025</v>
      </c>
      <c r="H32" s="55">
        <v>2026</v>
      </c>
      <c r="I32" s="55">
        <v>2027</v>
      </c>
    </row>
    <row r="33" spans="2:9" x14ac:dyDescent="0.25">
      <c r="B33" s="39" t="s">
        <v>0</v>
      </c>
      <c r="C33" s="100">
        <v>32179.601760000001</v>
      </c>
      <c r="D33" s="100">
        <v>22655.90929</v>
      </c>
      <c r="E33" s="100">
        <v>12240</v>
      </c>
      <c r="F33" s="100">
        <v>12240</v>
      </c>
      <c r="G33" s="100">
        <v>12240</v>
      </c>
      <c r="H33" s="100">
        <v>12240</v>
      </c>
      <c r="I33" s="100">
        <v>4590</v>
      </c>
    </row>
    <row r="34" spans="2:9" x14ac:dyDescent="0.25">
      <c r="B34" s="39"/>
      <c r="C34" s="100"/>
      <c r="D34" s="100"/>
      <c r="E34" s="100"/>
      <c r="F34" s="100"/>
      <c r="G34" s="100"/>
      <c r="H34" s="100"/>
      <c r="I34" s="100"/>
    </row>
    <row r="35" spans="2:9" x14ac:dyDescent="0.25">
      <c r="B35" s="39" t="s">
        <v>109</v>
      </c>
      <c r="C35" s="100">
        <v>25979.601760000001</v>
      </c>
      <c r="D35" s="100">
        <v>13534.880020000001</v>
      </c>
      <c r="E35" s="100">
        <v>10415.90929</v>
      </c>
      <c r="F35" s="100"/>
      <c r="G35" s="100"/>
      <c r="H35" s="100"/>
      <c r="I35" s="100"/>
    </row>
    <row r="36" spans="2:9" x14ac:dyDescent="0.25">
      <c r="B36" s="39"/>
      <c r="C36" s="100"/>
      <c r="D36" s="100"/>
      <c r="E36" s="100"/>
      <c r="F36" s="100"/>
      <c r="G36" s="100"/>
      <c r="H36" s="100"/>
      <c r="I36" s="100"/>
    </row>
    <row r="37" spans="2:9" x14ac:dyDescent="0.25">
      <c r="B37" s="93" t="s">
        <v>110</v>
      </c>
      <c r="C37" s="100">
        <v>6200</v>
      </c>
      <c r="D37" s="100">
        <v>9121.0292700000009</v>
      </c>
      <c r="E37" s="100">
        <v>1824.0907099999999</v>
      </c>
      <c r="F37" s="100">
        <v>12240</v>
      </c>
      <c r="G37" s="100">
        <v>12240</v>
      </c>
      <c r="H37" s="100">
        <v>12240</v>
      </c>
      <c r="I37" s="100">
        <v>4590</v>
      </c>
    </row>
  </sheetData>
  <mergeCells count="1">
    <mergeCell ref="B3:C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abSelected="1" workbookViewId="0">
      <selection activeCell="D3" sqref="D3:D4"/>
    </sheetView>
  </sheetViews>
  <sheetFormatPr defaultRowHeight="15" x14ac:dyDescent="0.25"/>
  <cols>
    <col min="3" max="3" width="35" bestFit="1" customWidth="1"/>
    <col min="4" max="4" width="21" customWidth="1"/>
    <col min="5" max="7" width="14.28515625" bestFit="1" customWidth="1"/>
    <col min="8" max="8" width="11.5703125" customWidth="1"/>
    <col min="9" max="9" width="14.28515625" bestFit="1" customWidth="1"/>
    <col min="10" max="10" width="11.85546875" bestFit="1" customWidth="1"/>
    <col min="11" max="11" width="14.85546875" bestFit="1" customWidth="1"/>
    <col min="12" max="12" width="20.140625" bestFit="1" customWidth="1"/>
  </cols>
  <sheetData>
    <row r="2" spans="1:12" x14ac:dyDescent="0.25">
      <c r="A2" s="42"/>
    </row>
    <row r="3" spans="1:12" x14ac:dyDescent="0.25">
      <c r="C3" s="105" t="s">
        <v>69</v>
      </c>
      <c r="D3" s="105" t="s">
        <v>65</v>
      </c>
      <c r="E3" s="105" t="s">
        <v>43</v>
      </c>
      <c r="F3" s="105" t="s">
        <v>49</v>
      </c>
      <c r="G3" s="105"/>
      <c r="H3" s="105"/>
      <c r="I3" s="105"/>
      <c r="J3" s="105"/>
      <c r="K3" s="105" t="s">
        <v>50</v>
      </c>
      <c r="L3" s="105" t="s">
        <v>48</v>
      </c>
    </row>
    <row r="4" spans="1:12" x14ac:dyDescent="0.25">
      <c r="C4" s="105"/>
      <c r="D4" s="105"/>
      <c r="E4" s="105"/>
      <c r="F4" s="90">
        <v>2020</v>
      </c>
      <c r="G4" s="90">
        <v>2019</v>
      </c>
      <c r="H4" s="90">
        <v>2018</v>
      </c>
      <c r="I4" s="90">
        <v>2017</v>
      </c>
      <c r="J4" s="90">
        <v>2016</v>
      </c>
      <c r="K4" s="105"/>
      <c r="L4" s="105"/>
    </row>
    <row r="5" spans="1:12" x14ac:dyDescent="0.25">
      <c r="C5" s="39" t="s">
        <v>42</v>
      </c>
      <c r="D5" s="40">
        <f>3936.24*10^7</f>
        <v>39362400000</v>
      </c>
      <c r="E5" s="39">
        <v>2.1</v>
      </c>
      <c r="F5" s="39">
        <v>10.88</v>
      </c>
      <c r="G5" s="39">
        <v>12.48</v>
      </c>
      <c r="H5" s="39">
        <v>17.690000000000001</v>
      </c>
      <c r="I5" s="39">
        <v>8.11</v>
      </c>
      <c r="J5" s="39">
        <v>13.92</v>
      </c>
      <c r="K5" s="39">
        <f>AVERAGE(F5:J5)</f>
        <v>12.616</v>
      </c>
      <c r="L5" s="41">
        <f>E5/(1+((1-0.25)*K5))</f>
        <v>0.20072643853947622</v>
      </c>
    </row>
    <row r="6" spans="1:12" x14ac:dyDescent="0.25">
      <c r="C6" s="39" t="s">
        <v>44</v>
      </c>
      <c r="D6" s="40">
        <f>5503.62*10^7</f>
        <v>55036200000</v>
      </c>
      <c r="E6" s="39">
        <v>1.58</v>
      </c>
      <c r="F6" s="39">
        <v>0.76</v>
      </c>
      <c r="G6" s="39">
        <v>1</v>
      </c>
      <c r="H6" s="39">
        <v>1.1299999999999999</v>
      </c>
      <c r="I6" s="39">
        <v>1.19</v>
      </c>
      <c r="J6" s="39">
        <v>2.02</v>
      </c>
      <c r="K6" s="39">
        <f t="shared" ref="K6:K9" si="0">AVERAGE(F6:J6)</f>
        <v>1.22</v>
      </c>
      <c r="L6" s="41">
        <f t="shared" ref="L6:L9" si="1">E6/(1+((1-0.25)*K6))</f>
        <v>0.82506527415143605</v>
      </c>
    </row>
    <row r="7" spans="1:12" x14ac:dyDescent="0.25">
      <c r="C7" s="39" t="s">
        <v>45</v>
      </c>
      <c r="D7" s="40">
        <f>1106.5*10^7</f>
        <v>11065000000</v>
      </c>
      <c r="E7" s="39">
        <v>1.54</v>
      </c>
      <c r="F7" s="39">
        <v>0.75</v>
      </c>
      <c r="G7" s="39">
        <v>0.71</v>
      </c>
      <c r="H7" s="39">
        <v>0.82</v>
      </c>
      <c r="I7" s="39">
        <v>0.83</v>
      </c>
      <c r="J7" s="39">
        <v>0.78</v>
      </c>
      <c r="K7" s="39">
        <f t="shared" si="0"/>
        <v>0.77799999999999991</v>
      </c>
      <c r="L7" s="41">
        <f t="shared" si="1"/>
        <v>0.97252920745184723</v>
      </c>
    </row>
    <row r="8" spans="1:12" x14ac:dyDescent="0.25">
      <c r="C8" s="39" t="s">
        <v>46</v>
      </c>
      <c r="D8" s="40">
        <f>731.01*10^7</f>
        <v>7310100000</v>
      </c>
      <c r="E8" s="39">
        <v>1.04</v>
      </c>
      <c r="F8" s="39">
        <v>2.06</v>
      </c>
      <c r="G8" s="39">
        <v>1.69</v>
      </c>
      <c r="H8" s="39">
        <v>2.29</v>
      </c>
      <c r="I8" s="39">
        <v>3.79</v>
      </c>
      <c r="J8" s="39">
        <v>6.68</v>
      </c>
      <c r="K8" s="39">
        <f t="shared" si="0"/>
        <v>3.3019999999999996</v>
      </c>
      <c r="L8" s="41">
        <f t="shared" si="1"/>
        <v>0.29915144541924354</v>
      </c>
    </row>
    <row r="9" spans="1:12" x14ac:dyDescent="0.25">
      <c r="C9" s="39" t="s">
        <v>47</v>
      </c>
      <c r="D9" s="40">
        <f>1528.16*10^7</f>
        <v>15281600000</v>
      </c>
      <c r="E9" s="39">
        <v>1.78</v>
      </c>
      <c r="F9" s="39">
        <v>2.31</v>
      </c>
      <c r="G9" s="39">
        <v>2.16</v>
      </c>
      <c r="H9" s="39">
        <v>1.19</v>
      </c>
      <c r="I9" s="39">
        <v>1.48</v>
      </c>
      <c r="J9" s="39">
        <v>2.58</v>
      </c>
      <c r="K9" s="39">
        <f t="shared" si="0"/>
        <v>1.9440000000000002</v>
      </c>
      <c r="L9" s="41">
        <f t="shared" si="1"/>
        <v>0.7241659886086248</v>
      </c>
    </row>
    <row r="10" spans="1:12" x14ac:dyDescent="0.25">
      <c r="C10" s="39"/>
      <c r="D10" s="39"/>
      <c r="E10" s="39"/>
      <c r="F10" s="39"/>
      <c r="G10" s="39"/>
      <c r="H10" s="39"/>
      <c r="I10" s="39"/>
      <c r="J10" s="39"/>
      <c r="K10" s="39"/>
      <c r="L10" s="41">
        <f>SUMPRODUCT(L5:L9,D5:D9)/SUM(D5:D9)</f>
        <v>0.60383138721126739</v>
      </c>
    </row>
    <row r="14" spans="1:12" x14ac:dyDescent="0.25">
      <c r="C14" s="39" t="s">
        <v>59</v>
      </c>
      <c r="D14" s="39"/>
      <c r="E14" s="39"/>
      <c r="F14" s="39"/>
      <c r="G14" s="39"/>
      <c r="H14" s="39"/>
    </row>
    <row r="15" spans="1:12" x14ac:dyDescent="0.25">
      <c r="C15" s="39"/>
      <c r="D15" s="39">
        <v>2019</v>
      </c>
      <c r="E15" s="39">
        <v>2018</v>
      </c>
      <c r="F15" s="39">
        <v>2017</v>
      </c>
      <c r="G15" s="39">
        <v>2016</v>
      </c>
      <c r="H15" s="39"/>
    </row>
    <row r="16" spans="1:12" x14ac:dyDescent="0.25">
      <c r="B16">
        <v>11.85</v>
      </c>
      <c r="C16" s="39" t="s">
        <v>56</v>
      </c>
      <c r="D16" s="40">
        <f>74957.15*10^5</f>
        <v>7495714999.999999</v>
      </c>
      <c r="E16" s="40">
        <f>65641.84*10^5</f>
        <v>6564184000</v>
      </c>
      <c r="F16" s="40">
        <f>46843.29*10^5</f>
        <v>4684329000</v>
      </c>
      <c r="G16" s="40">
        <v>4935161428</v>
      </c>
      <c r="H16" s="39"/>
      <c r="I16" s="35">
        <f>D16/I19</f>
        <v>0.94675739682339199</v>
      </c>
    </row>
    <row r="17" spans="3:9" x14ac:dyDescent="0.25">
      <c r="C17" s="39" t="s">
        <v>57</v>
      </c>
      <c r="D17" s="40">
        <f>4215.35*10^5</f>
        <v>421535000.00000006</v>
      </c>
      <c r="E17" s="40">
        <f>8908.77*10^5</f>
        <v>890877000</v>
      </c>
      <c r="F17" s="40">
        <f>12581.69*10^5</f>
        <v>1258169000</v>
      </c>
      <c r="G17" s="40">
        <v>544156939</v>
      </c>
      <c r="H17" s="39"/>
      <c r="I17" s="35">
        <f>D17/I19</f>
        <v>5.3242603176608054E-2</v>
      </c>
    </row>
    <row r="18" spans="3:9" x14ac:dyDescent="0.25">
      <c r="C18" s="39" t="s">
        <v>58</v>
      </c>
      <c r="D18" s="41">
        <f>D16/D17</f>
        <v>17.781951676610479</v>
      </c>
      <c r="E18" s="41">
        <f t="shared" ref="E18:G18" si="2">E16/E17</f>
        <v>7.3682270391984526</v>
      </c>
      <c r="F18" s="41">
        <f t="shared" si="2"/>
        <v>3.7231317891316666</v>
      </c>
      <c r="G18" s="41">
        <f t="shared" si="2"/>
        <v>9.0693714888013215</v>
      </c>
      <c r="H18" s="41">
        <f>AVERAGE(D18:G18)</f>
        <v>9.4856704984354803</v>
      </c>
    </row>
    <row r="19" spans="3:9" x14ac:dyDescent="0.25">
      <c r="I19" s="43">
        <f>D16+D17</f>
        <v>7917249999.999999</v>
      </c>
    </row>
    <row r="21" spans="3:9" x14ac:dyDescent="0.25">
      <c r="C21" s="55" t="s">
        <v>60</v>
      </c>
      <c r="D21" s="54">
        <f>L10*(1+(H18*(1-0.25)))</f>
        <v>4.8996405689857347</v>
      </c>
    </row>
    <row r="23" spans="3:9" x14ac:dyDescent="0.25">
      <c r="C23" t="s">
        <v>61</v>
      </c>
      <c r="D23" s="44">
        <f>D24+D25*(D26-D24)</f>
        <v>17.279173308667193</v>
      </c>
    </row>
    <row r="24" spans="3:9" x14ac:dyDescent="0.25">
      <c r="C24" t="s">
        <v>62</v>
      </c>
      <c r="D24">
        <v>6.01</v>
      </c>
    </row>
    <row r="25" spans="3:9" x14ac:dyDescent="0.25">
      <c r="C25" t="s">
        <v>63</v>
      </c>
      <c r="D25" s="44">
        <f>D21</f>
        <v>4.8996405689857347</v>
      </c>
    </row>
    <row r="26" spans="3:9" x14ac:dyDescent="0.25">
      <c r="C26" t="s">
        <v>64</v>
      </c>
      <c r="D26">
        <v>8.31</v>
      </c>
    </row>
    <row r="28" spans="3:9" x14ac:dyDescent="0.25">
      <c r="C28" s="51" t="s">
        <v>10</v>
      </c>
      <c r="D28" s="52">
        <f>(D16/I19)*(B16*(1-0.25))+(D17/I19)*D23</f>
        <v>9.3342945319611008</v>
      </c>
    </row>
    <row r="29" spans="3:9" x14ac:dyDescent="0.25">
      <c r="C29" s="51" t="s">
        <v>66</v>
      </c>
      <c r="D29" s="51">
        <v>2</v>
      </c>
    </row>
    <row r="30" spans="3:9" x14ac:dyDescent="0.25">
      <c r="C30" s="53" t="s">
        <v>67</v>
      </c>
      <c r="D30" s="56">
        <f>D28+D29</f>
        <v>11.334294531961101</v>
      </c>
    </row>
  </sheetData>
  <mergeCells count="6">
    <mergeCell ref="K3:K4"/>
    <mergeCell ref="L3:L4"/>
    <mergeCell ref="F3:J3"/>
    <mergeCell ref="C3:C4"/>
    <mergeCell ref="D3:D4"/>
    <mergeCell ref="E3:E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workbookViewId="0">
      <selection activeCell="F12" sqref="F12"/>
    </sheetView>
  </sheetViews>
  <sheetFormatPr defaultRowHeight="15" x14ac:dyDescent="0.25"/>
  <cols>
    <col min="2" max="2" width="25.5703125" bestFit="1" customWidth="1"/>
    <col min="3" max="3" width="20.140625" bestFit="1" customWidth="1"/>
    <col min="4" max="4" width="16.28515625" bestFit="1" customWidth="1"/>
    <col min="5" max="5" width="15.28515625" bestFit="1" customWidth="1"/>
    <col min="6" max="6" width="17.42578125" bestFit="1" customWidth="1"/>
    <col min="7" max="7" width="15" bestFit="1" customWidth="1"/>
    <col min="8" max="8" width="14.28515625" bestFit="1" customWidth="1"/>
    <col min="9" max="15" width="15" bestFit="1" customWidth="1"/>
  </cols>
  <sheetData>
    <row r="1" spans="2:10" x14ac:dyDescent="0.25">
      <c r="F1" s="106" t="s">
        <v>16</v>
      </c>
      <c r="G1" s="107"/>
    </row>
    <row r="2" spans="2:10" ht="15.75" thickBot="1" x14ac:dyDescent="0.3">
      <c r="F2" s="108"/>
      <c r="G2" s="109"/>
    </row>
    <row r="3" spans="2:10" x14ac:dyDescent="0.25">
      <c r="C3" s="29" t="s">
        <v>17</v>
      </c>
      <c r="D3" s="30">
        <f>592.73*10^7</f>
        <v>5927300000</v>
      </c>
    </row>
    <row r="4" spans="2:10" x14ac:dyDescent="0.25">
      <c r="C4" s="29" t="s">
        <v>18</v>
      </c>
      <c r="D4" s="31">
        <f>7</f>
        <v>7</v>
      </c>
    </row>
    <row r="5" spans="2:10" x14ac:dyDescent="0.25">
      <c r="C5" s="29" t="s">
        <v>19</v>
      </c>
      <c r="D5" s="32">
        <v>0.11799999999999999</v>
      </c>
      <c r="F5" t="s">
        <v>55</v>
      </c>
    </row>
    <row r="6" spans="2:10" x14ac:dyDescent="0.25">
      <c r="C6" s="110" t="s">
        <v>20</v>
      </c>
      <c r="D6" s="30">
        <f>PMT(D5,D4,D3,0)</f>
        <v>-1290550598.727447</v>
      </c>
    </row>
    <row r="7" spans="2:10" x14ac:dyDescent="0.25">
      <c r="C7" s="111"/>
      <c r="D7" s="30">
        <f>-D6</f>
        <v>1290550598.727447</v>
      </c>
    </row>
    <row r="11" spans="2:10" x14ac:dyDescent="0.25">
      <c r="B11" s="33" t="s">
        <v>21</v>
      </c>
      <c r="C11" s="33" t="s">
        <v>22</v>
      </c>
      <c r="D11" s="33" t="s">
        <v>23</v>
      </c>
      <c r="E11" s="33" t="s">
        <v>24</v>
      </c>
      <c r="F11" s="33" t="s">
        <v>25</v>
      </c>
      <c r="G11" s="33" t="s">
        <v>26</v>
      </c>
    </row>
    <row r="12" spans="2:10" x14ac:dyDescent="0.25">
      <c r="B12" s="34">
        <v>1</v>
      </c>
      <c r="C12" s="34">
        <f>D3</f>
        <v>5927300000</v>
      </c>
      <c r="D12" s="34">
        <f>D7</f>
        <v>1290550598.727447</v>
      </c>
      <c r="E12" s="34">
        <f>C12*$D$5</f>
        <v>699421400</v>
      </c>
      <c r="F12" s="34">
        <f>D12-E12</f>
        <v>591129198.72744703</v>
      </c>
      <c r="G12" s="34">
        <f>C12-F12</f>
        <v>5336170801.2725525</v>
      </c>
    </row>
    <row r="13" spans="2:10" x14ac:dyDescent="0.25">
      <c r="B13" s="34">
        <v>2</v>
      </c>
      <c r="C13" s="34">
        <f>G12</f>
        <v>5336170801.2725525</v>
      </c>
      <c r="D13" s="34">
        <f>D12</f>
        <v>1290550598.727447</v>
      </c>
      <c r="E13" s="34">
        <f>C13*$D$5</f>
        <v>629668154.55016112</v>
      </c>
      <c r="F13" s="34">
        <f>D13-E13</f>
        <v>660882444.17728591</v>
      </c>
      <c r="G13" s="34">
        <f>C13-F13</f>
        <v>4675288357.0952663</v>
      </c>
    </row>
    <row r="14" spans="2:10" x14ac:dyDescent="0.25">
      <c r="B14" s="34">
        <v>3</v>
      </c>
      <c r="C14" s="34">
        <f t="shared" ref="C14:C19" si="0">G13</f>
        <v>4675288357.0952663</v>
      </c>
      <c r="D14" s="34">
        <f t="shared" ref="D14:D19" si="1">D13</f>
        <v>1290550598.727447</v>
      </c>
      <c r="E14" s="34">
        <f t="shared" ref="E14:E19" si="2">C14*$D$5</f>
        <v>551684026.13724136</v>
      </c>
      <c r="F14" s="34">
        <f t="shared" ref="F14:F19" si="3">D14-E14</f>
        <v>738866572.59020567</v>
      </c>
      <c r="G14" s="34">
        <f t="shared" ref="G14:G19" si="4">C14-F14</f>
        <v>3936421784.5050607</v>
      </c>
    </row>
    <row r="15" spans="2:10" x14ac:dyDescent="0.25">
      <c r="B15" s="34">
        <v>4</v>
      </c>
      <c r="C15" s="34">
        <f t="shared" si="0"/>
        <v>3936421784.5050607</v>
      </c>
      <c r="D15" s="34">
        <f t="shared" si="1"/>
        <v>1290550598.727447</v>
      </c>
      <c r="E15" s="34">
        <f t="shared" si="2"/>
        <v>464497770.57159716</v>
      </c>
      <c r="F15" s="34">
        <f t="shared" si="3"/>
        <v>826052828.15584993</v>
      </c>
      <c r="G15" s="34">
        <f t="shared" si="4"/>
        <v>3110368956.3492107</v>
      </c>
    </row>
    <row r="16" spans="2:10" x14ac:dyDescent="0.25">
      <c r="B16" s="34">
        <v>5</v>
      </c>
      <c r="C16" s="34">
        <f t="shared" si="0"/>
        <v>3110368956.3492107</v>
      </c>
      <c r="D16" s="34">
        <f t="shared" si="1"/>
        <v>1290550598.727447</v>
      </c>
      <c r="E16" s="34">
        <f t="shared" si="2"/>
        <v>367023536.84920686</v>
      </c>
      <c r="F16" s="34">
        <f t="shared" si="3"/>
        <v>923527061.87824011</v>
      </c>
      <c r="G16" s="34">
        <f t="shared" si="4"/>
        <v>2186841894.4709706</v>
      </c>
      <c r="J16" s="35"/>
    </row>
    <row r="17" spans="2:15" x14ac:dyDescent="0.25">
      <c r="B17" s="34">
        <v>6</v>
      </c>
      <c r="C17" s="34">
        <f t="shared" si="0"/>
        <v>2186841894.4709706</v>
      </c>
      <c r="D17" s="34">
        <f t="shared" si="1"/>
        <v>1290550598.727447</v>
      </c>
      <c r="E17" s="34">
        <f t="shared" si="2"/>
        <v>258047343.54757452</v>
      </c>
      <c r="F17" s="34">
        <f t="shared" si="3"/>
        <v>1032503255.1798725</v>
      </c>
      <c r="G17" s="34">
        <f t="shared" si="4"/>
        <v>1154338639.2910981</v>
      </c>
    </row>
    <row r="18" spans="2:15" x14ac:dyDescent="0.25">
      <c r="B18" s="34">
        <v>7</v>
      </c>
      <c r="C18" s="34">
        <f t="shared" si="0"/>
        <v>1154338639.2910981</v>
      </c>
      <c r="D18" s="34">
        <f t="shared" si="1"/>
        <v>1290550598.727447</v>
      </c>
      <c r="E18" s="34">
        <f t="shared" si="2"/>
        <v>136211959.43634957</v>
      </c>
      <c r="F18" s="34">
        <f t="shared" si="3"/>
        <v>1154338639.2910974</v>
      </c>
      <c r="G18" s="34">
        <f t="shared" si="4"/>
        <v>0</v>
      </c>
    </row>
    <row r="19" spans="2:15" x14ac:dyDescent="0.25">
      <c r="B19" s="34">
        <v>8</v>
      </c>
      <c r="C19" s="34">
        <f t="shared" si="0"/>
        <v>0</v>
      </c>
      <c r="D19" s="34">
        <f t="shared" si="1"/>
        <v>1290550598.727447</v>
      </c>
      <c r="E19" s="34">
        <f t="shared" si="2"/>
        <v>0</v>
      </c>
      <c r="F19" s="34">
        <f t="shared" si="3"/>
        <v>1290550598.727447</v>
      </c>
      <c r="G19" s="34">
        <f t="shared" si="4"/>
        <v>-1290550598.727447</v>
      </c>
    </row>
    <row r="23" spans="2:15" x14ac:dyDescent="0.25">
      <c r="C23" s="38">
        <v>42064</v>
      </c>
      <c r="D23" s="38">
        <v>42430</v>
      </c>
      <c r="E23" s="38">
        <v>42795</v>
      </c>
      <c r="F23" s="38">
        <v>43160</v>
      </c>
      <c r="G23" s="38">
        <v>43525</v>
      </c>
      <c r="H23" s="38">
        <v>43891</v>
      </c>
      <c r="I23" s="38">
        <v>44256</v>
      </c>
      <c r="J23" s="38">
        <v>44621</v>
      </c>
      <c r="K23" s="38">
        <v>44986</v>
      </c>
      <c r="L23" s="38">
        <v>45352</v>
      </c>
      <c r="M23" s="38">
        <v>45717</v>
      </c>
      <c r="N23" s="38">
        <v>46082</v>
      </c>
      <c r="O23" s="38">
        <v>46447</v>
      </c>
    </row>
    <row r="24" spans="2:15" x14ac:dyDescent="0.25">
      <c r="B24" t="s">
        <v>51</v>
      </c>
      <c r="C24" s="28">
        <v>41263721</v>
      </c>
      <c r="D24" s="28">
        <f>371.51*10^5</f>
        <v>37151000</v>
      </c>
      <c r="E24" s="28">
        <f>778.1*10^5</f>
        <v>77810000</v>
      </c>
      <c r="F24" s="28">
        <f>3348.64*10^5</f>
        <v>334864000</v>
      </c>
      <c r="G24" s="28">
        <f>5211.76*10^5</f>
        <v>521176000</v>
      </c>
      <c r="H24" s="43">
        <f>AVERAGE(C24:G24)</f>
        <v>202452944.19999999</v>
      </c>
      <c r="I24" s="43">
        <f t="shared" ref="I24:O24" si="5">AVERAGE(D24:H24)</f>
        <v>234690788.84</v>
      </c>
      <c r="J24" s="43">
        <f t="shared" si="5"/>
        <v>274198746.60799998</v>
      </c>
      <c r="K24" s="43">
        <f t="shared" si="5"/>
        <v>313476495.9296</v>
      </c>
      <c r="L24" s="43">
        <f t="shared" si="5"/>
        <v>309198995.11552</v>
      </c>
      <c r="M24" s="43">
        <f t="shared" si="5"/>
        <v>266803594.13862401</v>
      </c>
      <c r="N24" s="43">
        <f t="shared" si="5"/>
        <v>279673724.12634879</v>
      </c>
      <c r="O24" s="43">
        <f t="shared" si="5"/>
        <v>288670311.18361855</v>
      </c>
    </row>
    <row r="25" spans="2:15" x14ac:dyDescent="0.25">
      <c r="C25" s="28"/>
      <c r="D25" s="28"/>
      <c r="E25" s="28"/>
      <c r="F25" s="28"/>
      <c r="G25" s="28"/>
    </row>
    <row r="26" spans="2:15" x14ac:dyDescent="0.25">
      <c r="B26" t="s">
        <v>52</v>
      </c>
      <c r="C26" s="28">
        <v>378435145</v>
      </c>
      <c r="D26" s="28">
        <f>4996.48*10^5</f>
        <v>499647999.99999994</v>
      </c>
      <c r="E26" s="28">
        <f>8193.93*10^5</f>
        <v>819393000</v>
      </c>
      <c r="F26" s="28">
        <f>16594.59*10^5</f>
        <v>1659459000</v>
      </c>
      <c r="G26" s="28">
        <f>25818.18*10^5</f>
        <v>2581818000</v>
      </c>
      <c r="H26" s="43">
        <f>AVERAGE(C26:G26)</f>
        <v>1187750629</v>
      </c>
      <c r="I26" s="43">
        <f t="shared" ref="I26:O26" si="6">AVERAGE(D26:H26)</f>
        <v>1349613725.8</v>
      </c>
      <c r="J26" s="43">
        <f t="shared" si="6"/>
        <v>1519606870.96</v>
      </c>
      <c r="K26" s="43">
        <f t="shared" si="6"/>
        <v>1659649645.152</v>
      </c>
      <c r="L26" s="43">
        <f t="shared" si="6"/>
        <v>1659687774.1824002</v>
      </c>
      <c r="M26" s="43">
        <f t="shared" si="6"/>
        <v>1475261729.0188801</v>
      </c>
      <c r="N26" s="43">
        <f t="shared" si="6"/>
        <v>1532763949.022656</v>
      </c>
      <c r="O26" s="43">
        <f t="shared" si="6"/>
        <v>1569393993.6671872</v>
      </c>
    </row>
    <row r="28" spans="2:15" x14ac:dyDescent="0.25">
      <c r="B28" t="s">
        <v>53</v>
      </c>
      <c r="C28" s="43">
        <f>C24-C26</f>
        <v>-337171424</v>
      </c>
      <c r="D28" s="43">
        <f t="shared" ref="D28:O28" si="7">D24-D26</f>
        <v>-462496999.99999994</v>
      </c>
      <c r="E28" s="43">
        <f t="shared" si="7"/>
        <v>-741583000</v>
      </c>
      <c r="F28" s="43">
        <f t="shared" si="7"/>
        <v>-1324595000</v>
      </c>
      <c r="G28" s="43">
        <f t="shared" si="7"/>
        <v>-2060642000</v>
      </c>
      <c r="H28" s="43">
        <f t="shared" si="7"/>
        <v>-985297684.79999995</v>
      </c>
      <c r="I28" s="43">
        <f t="shared" si="7"/>
        <v>-1114922936.96</v>
      </c>
      <c r="J28" s="43">
        <f t="shared" si="7"/>
        <v>-1245408124.352</v>
      </c>
      <c r="K28" s="43">
        <f t="shared" si="7"/>
        <v>-1346173149.2224</v>
      </c>
      <c r="L28" s="43">
        <f t="shared" si="7"/>
        <v>-1350488779.0668802</v>
      </c>
      <c r="M28" s="43">
        <f t="shared" si="7"/>
        <v>-1208458134.8802562</v>
      </c>
      <c r="N28" s="43">
        <f t="shared" si="7"/>
        <v>-1253090224.8963072</v>
      </c>
      <c r="O28" s="43">
        <f t="shared" si="7"/>
        <v>-1280723682.4835687</v>
      </c>
    </row>
    <row r="30" spans="2:15" x14ac:dyDescent="0.25">
      <c r="B30" t="s">
        <v>54</v>
      </c>
      <c r="D30" s="43">
        <f>D28-(C28)</f>
        <v>-125325575.99999994</v>
      </c>
      <c r="E30" s="43">
        <f t="shared" ref="E30:F30" si="8">E28-(D28)</f>
        <v>-279086000.00000006</v>
      </c>
      <c r="F30" s="43">
        <f t="shared" si="8"/>
        <v>-583012000</v>
      </c>
      <c r="G30" s="43">
        <f>G28-(F28)</f>
        <v>-736047000</v>
      </c>
      <c r="H30" s="43">
        <f t="shared" ref="H30:O30" si="9">H28-(G28)</f>
        <v>1075344315.2</v>
      </c>
      <c r="I30" s="43">
        <f t="shared" si="9"/>
        <v>-129625252.16000009</v>
      </c>
      <c r="J30" s="43">
        <f t="shared" si="9"/>
        <v>-130485187.39199996</v>
      </c>
      <c r="K30" s="43">
        <f t="shared" si="9"/>
        <v>-100765024.87039995</v>
      </c>
      <c r="L30" s="43">
        <f t="shared" si="9"/>
        <v>-4315629.8444802761</v>
      </c>
      <c r="M30" s="43">
        <f t="shared" si="9"/>
        <v>142030644.18662405</v>
      </c>
      <c r="N30" s="43">
        <f t="shared" si="9"/>
        <v>-44632090.016051054</v>
      </c>
      <c r="O30" s="43">
        <f t="shared" si="9"/>
        <v>-27633457.587261438</v>
      </c>
    </row>
  </sheetData>
  <mergeCells count="2">
    <mergeCell ref="F1:G2"/>
    <mergeCell ref="C6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7"/>
  <sheetViews>
    <sheetView workbookViewId="0">
      <selection activeCell="C17" sqref="C17:I24"/>
    </sheetView>
  </sheetViews>
  <sheetFormatPr defaultRowHeight="15" x14ac:dyDescent="0.25"/>
  <cols>
    <col min="3" max="3" width="33" bestFit="1" customWidth="1"/>
    <col min="4" max="4" width="7.140625" customWidth="1"/>
    <col min="5" max="5" width="17.7109375" customWidth="1"/>
    <col min="6" max="6" width="14" bestFit="1" customWidth="1"/>
    <col min="7" max="8" width="13.28515625" bestFit="1" customWidth="1"/>
    <col min="9" max="9" width="14.85546875" bestFit="1" customWidth="1"/>
    <col min="10" max="10" width="13.42578125" bestFit="1" customWidth="1"/>
    <col min="11" max="11" width="11.7109375" bestFit="1" customWidth="1"/>
    <col min="12" max="12" width="5.140625" customWidth="1"/>
    <col min="13" max="13" width="17.5703125" bestFit="1" customWidth="1"/>
    <col min="14" max="14" width="14" bestFit="1" customWidth="1"/>
    <col min="15" max="15" width="20.140625" bestFit="1" customWidth="1"/>
    <col min="16" max="16" width="17.5703125" bestFit="1" customWidth="1"/>
    <col min="17" max="17" width="15.85546875" bestFit="1" customWidth="1"/>
  </cols>
  <sheetData>
    <row r="3" spans="2:14" x14ac:dyDescent="0.25">
      <c r="C3" s="39" t="s">
        <v>78</v>
      </c>
      <c r="D3" s="39"/>
      <c r="E3" s="57">
        <v>43160</v>
      </c>
      <c r="F3" s="57">
        <v>43525</v>
      </c>
      <c r="G3" s="57">
        <v>43891</v>
      </c>
      <c r="H3" s="57">
        <v>44256</v>
      </c>
      <c r="I3" s="57">
        <v>44621</v>
      </c>
      <c r="J3" s="57">
        <v>44986</v>
      </c>
      <c r="K3" s="57">
        <v>45352</v>
      </c>
    </row>
    <row r="4" spans="2:14" x14ac:dyDescent="0.25">
      <c r="C4" s="58" t="s">
        <v>71</v>
      </c>
      <c r="D4" s="58"/>
      <c r="E4" s="59">
        <f>10.01*10^5</f>
        <v>1001000</v>
      </c>
      <c r="F4" s="59">
        <f>SUM(E4,E5)-E6</f>
        <v>9676000</v>
      </c>
      <c r="G4" s="59">
        <f t="shared" ref="G4:K4" si="0">SUM(F4,F5)-F6</f>
        <v>9676000</v>
      </c>
      <c r="H4" s="59">
        <f t="shared" si="0"/>
        <v>9676000</v>
      </c>
      <c r="I4" s="59">
        <f t="shared" si="0"/>
        <v>9676000</v>
      </c>
      <c r="J4" s="59">
        <f t="shared" si="0"/>
        <v>9676000</v>
      </c>
      <c r="K4" s="59">
        <f t="shared" si="0"/>
        <v>9676000</v>
      </c>
    </row>
    <row r="5" spans="2:14" x14ac:dyDescent="0.25">
      <c r="B5" s="44"/>
      <c r="C5" s="58" t="s">
        <v>72</v>
      </c>
      <c r="D5" s="58"/>
      <c r="E5" s="60">
        <f>86.75*10^5</f>
        <v>8675000</v>
      </c>
      <c r="F5" s="60"/>
      <c r="G5" s="60">
        <v>0</v>
      </c>
      <c r="H5" s="60"/>
      <c r="I5" s="60"/>
      <c r="J5" s="60"/>
      <c r="K5" s="60"/>
    </row>
    <row r="6" spans="2:14" x14ac:dyDescent="0.25">
      <c r="B6" s="35"/>
      <c r="C6" s="58" t="s">
        <v>73</v>
      </c>
      <c r="D6" s="58"/>
      <c r="E6" s="60"/>
      <c r="F6" s="60"/>
      <c r="G6" s="60">
        <v>0</v>
      </c>
      <c r="H6" s="60"/>
      <c r="I6" s="60"/>
      <c r="J6" s="60"/>
      <c r="K6" s="60">
        <f>K4</f>
        <v>9676000</v>
      </c>
    </row>
    <row r="7" spans="2:14" x14ac:dyDescent="0.25">
      <c r="C7" s="58" t="s">
        <v>74</v>
      </c>
      <c r="D7" s="58"/>
      <c r="E7" s="60">
        <f>4.78*10^5</f>
        <v>478000</v>
      </c>
      <c r="F7" s="60">
        <f>F4*E11</f>
        <v>4620507.4925074922</v>
      </c>
      <c r="G7" s="60">
        <f t="shared" ref="G7:K7" si="1">G4*F11</f>
        <v>4620507.4925074922</v>
      </c>
      <c r="H7" s="60">
        <f t="shared" si="1"/>
        <v>4620507.4925074922</v>
      </c>
      <c r="I7" s="60">
        <f t="shared" si="1"/>
        <v>4620507.4925074922</v>
      </c>
      <c r="J7" s="60">
        <f t="shared" si="1"/>
        <v>4620507.4925074922</v>
      </c>
      <c r="K7" s="60">
        <f t="shared" si="1"/>
        <v>4620507.4925074922</v>
      </c>
    </row>
    <row r="8" spans="2:14" x14ac:dyDescent="0.25">
      <c r="C8" s="58" t="s">
        <v>75</v>
      </c>
      <c r="D8" s="58"/>
      <c r="E8" s="60"/>
      <c r="F8" s="60"/>
      <c r="G8" s="60">
        <f>G4*A4</f>
        <v>0</v>
      </c>
      <c r="H8" s="60"/>
      <c r="I8" s="60"/>
      <c r="J8" s="60"/>
      <c r="K8" s="60">
        <f>J10-K7</f>
        <v>-18047044.955044951</v>
      </c>
    </row>
    <row r="9" spans="2:14" x14ac:dyDescent="0.25">
      <c r="C9" s="58" t="s">
        <v>76</v>
      </c>
      <c r="D9" s="58"/>
      <c r="E9" s="60">
        <v>0</v>
      </c>
      <c r="F9" s="60">
        <f>F7+E9+F8-F6</f>
        <v>4620507.4925074922</v>
      </c>
      <c r="G9" s="60">
        <f>G7+F9+G8-G6</f>
        <v>9241014.9850149844</v>
      </c>
      <c r="H9" s="60">
        <f>H7+G9+H8</f>
        <v>13861522.477522478</v>
      </c>
      <c r="I9" s="60">
        <f t="shared" ref="I9:J9" si="2">I7+H9+I8</f>
        <v>18482029.970029969</v>
      </c>
      <c r="J9" s="60">
        <f t="shared" si="2"/>
        <v>23102537.46253746</v>
      </c>
      <c r="K9" s="60">
        <f>+J9+K7+K8-K6</f>
        <v>0</v>
      </c>
    </row>
    <row r="10" spans="2:14" x14ac:dyDescent="0.25">
      <c r="C10" s="58" t="s">
        <v>77</v>
      </c>
      <c r="D10" s="58"/>
      <c r="E10" s="61">
        <f>E4-E9</f>
        <v>1001000</v>
      </c>
      <c r="F10" s="61">
        <f t="shared" ref="F10:K10" si="3">F4-F9</f>
        <v>5055492.5074925078</v>
      </c>
      <c r="G10" s="61">
        <f t="shared" si="3"/>
        <v>434985.01498501562</v>
      </c>
      <c r="H10" s="61">
        <f t="shared" si="3"/>
        <v>-4185522.4775224775</v>
      </c>
      <c r="I10" s="61">
        <f t="shared" si="3"/>
        <v>-8806029.9700299688</v>
      </c>
      <c r="J10" s="61">
        <f t="shared" si="3"/>
        <v>-13426537.46253746</v>
      </c>
      <c r="K10" s="61">
        <f t="shared" si="3"/>
        <v>9676000</v>
      </c>
    </row>
    <row r="11" spans="2:14" x14ac:dyDescent="0.25">
      <c r="C11" s="58"/>
      <c r="D11" s="58"/>
      <c r="E11" s="62">
        <f>E7/E4</f>
        <v>0.47752247752247751</v>
      </c>
      <c r="F11" s="62">
        <f t="shared" ref="F11:K11" si="4">F7/F4</f>
        <v>0.47752247752247751</v>
      </c>
      <c r="G11" s="62">
        <f t="shared" si="4"/>
        <v>0.47752247752247751</v>
      </c>
      <c r="H11" s="62">
        <f t="shared" si="4"/>
        <v>0.47752247752247751</v>
      </c>
      <c r="I11" s="62">
        <f t="shared" si="4"/>
        <v>0.47752247752247751</v>
      </c>
      <c r="J11" s="62">
        <f t="shared" si="4"/>
        <v>0.47752247752247751</v>
      </c>
      <c r="K11" s="62">
        <f t="shared" si="4"/>
        <v>0.47752247752247751</v>
      </c>
    </row>
    <row r="13" spans="2:14" x14ac:dyDescent="0.25">
      <c r="E13" s="44"/>
    </row>
    <row r="14" spans="2:14" x14ac:dyDescent="0.25">
      <c r="E14" s="35">
        <f>1/7</f>
        <v>0.14285714285714285</v>
      </c>
      <c r="G14" s="35">
        <f>95%/7</f>
        <v>0.1357142857142857</v>
      </c>
      <c r="N14" s="35">
        <f>1/7</f>
        <v>0.14285714285714285</v>
      </c>
    </row>
    <row r="17" spans="3:17" x14ac:dyDescent="0.25">
      <c r="C17" s="39" t="s">
        <v>12</v>
      </c>
      <c r="D17" s="39"/>
      <c r="E17" s="39" t="s">
        <v>122</v>
      </c>
      <c r="F17" s="39" t="s">
        <v>80</v>
      </c>
      <c r="G17" s="39" t="s">
        <v>81</v>
      </c>
      <c r="H17" s="39" t="s">
        <v>82</v>
      </c>
      <c r="I17" s="39" t="s">
        <v>83</v>
      </c>
      <c r="K17" s="39"/>
      <c r="L17" s="39"/>
      <c r="M17" s="39" t="s">
        <v>79</v>
      </c>
      <c r="N17" s="39" t="s">
        <v>80</v>
      </c>
      <c r="O17" s="39" t="s">
        <v>97</v>
      </c>
      <c r="P17" s="39" t="s">
        <v>82</v>
      </c>
      <c r="Q17" s="39" t="s">
        <v>83</v>
      </c>
    </row>
    <row r="18" spans="3:17" x14ac:dyDescent="0.25">
      <c r="C18" s="39">
        <v>2021</v>
      </c>
      <c r="D18" s="39">
        <v>1</v>
      </c>
      <c r="E18" s="63">
        <v>9676000</v>
      </c>
      <c r="F18" s="64">
        <f>E14</f>
        <v>0.14285714285714285</v>
      </c>
      <c r="G18" s="65">
        <f>E18*F18</f>
        <v>1382285.7142857143</v>
      </c>
      <c r="H18" s="65">
        <f>G18</f>
        <v>1382285.7142857143</v>
      </c>
      <c r="I18" s="65">
        <f>E18-G18</f>
        <v>8293714.2857142854</v>
      </c>
      <c r="K18" s="39">
        <v>2021</v>
      </c>
      <c r="L18" s="39">
        <v>1</v>
      </c>
      <c r="M18" s="63">
        <f>107*10^7</f>
        <v>1070000000</v>
      </c>
      <c r="N18" s="64">
        <f>N14</f>
        <v>0.14285714285714285</v>
      </c>
      <c r="O18" s="65">
        <f>M18*N18</f>
        <v>152857142.85714284</v>
      </c>
      <c r="P18" s="65">
        <f>O18</f>
        <v>152857142.85714284</v>
      </c>
      <c r="Q18" s="65">
        <f>M18-O18</f>
        <v>917142857.14285719</v>
      </c>
    </row>
    <row r="19" spans="3:17" x14ac:dyDescent="0.25">
      <c r="C19" s="39">
        <v>2022</v>
      </c>
      <c r="D19" s="39">
        <v>2</v>
      </c>
      <c r="E19" s="65">
        <f>I18</f>
        <v>8293714.2857142854</v>
      </c>
      <c r="F19" s="64">
        <f t="shared" ref="F19:G24" si="5">F18</f>
        <v>0.14285714285714285</v>
      </c>
      <c r="G19" s="65">
        <f>G18</f>
        <v>1382285.7142857143</v>
      </c>
      <c r="H19" s="65">
        <f>H18+G19</f>
        <v>2764571.4285714286</v>
      </c>
      <c r="I19" s="65">
        <f t="shared" ref="I19:I24" si="6">E19-G19</f>
        <v>6911428.5714285709</v>
      </c>
      <c r="K19" s="39">
        <v>2022</v>
      </c>
      <c r="L19" s="39">
        <v>2</v>
      </c>
      <c r="M19" s="65">
        <f>Q18</f>
        <v>917142857.14285719</v>
      </c>
      <c r="N19" s="64">
        <f t="shared" ref="N19" si="7">N18</f>
        <v>0.14285714285714285</v>
      </c>
      <c r="O19" s="65">
        <f>O18</f>
        <v>152857142.85714284</v>
      </c>
      <c r="P19" s="65">
        <f>P18+O19</f>
        <v>305714285.71428567</v>
      </c>
      <c r="Q19" s="65">
        <f t="shared" ref="Q19:Q24" si="8">M19-O19</f>
        <v>764285714.28571439</v>
      </c>
    </row>
    <row r="20" spans="3:17" x14ac:dyDescent="0.25">
      <c r="C20" s="39">
        <v>2023</v>
      </c>
      <c r="D20" s="39">
        <v>3</v>
      </c>
      <c r="E20" s="65">
        <f t="shared" ref="E20:E24" si="9">I19</f>
        <v>6911428.5714285709</v>
      </c>
      <c r="F20" s="64">
        <f t="shared" si="5"/>
        <v>0.14285714285714285</v>
      </c>
      <c r="G20" s="65">
        <f>G19</f>
        <v>1382285.7142857143</v>
      </c>
      <c r="H20" s="65">
        <f t="shared" ref="H20:H24" si="10">H19+G20</f>
        <v>4146857.1428571427</v>
      </c>
      <c r="I20" s="65">
        <f t="shared" si="6"/>
        <v>5529142.8571428563</v>
      </c>
      <c r="K20" s="39">
        <v>2023</v>
      </c>
      <c r="L20" s="39">
        <v>3</v>
      </c>
      <c r="M20" s="65">
        <f t="shared" ref="M20:M24" si="11">Q19</f>
        <v>764285714.28571439</v>
      </c>
      <c r="N20" s="64">
        <f t="shared" ref="N20" si="12">N19</f>
        <v>0.14285714285714285</v>
      </c>
      <c r="O20" s="65">
        <f>O19</f>
        <v>152857142.85714284</v>
      </c>
      <c r="P20" s="65">
        <f t="shared" ref="P20:P24" si="13">P19+O20</f>
        <v>458571428.57142854</v>
      </c>
      <c r="Q20" s="65">
        <f t="shared" si="8"/>
        <v>611428571.42857158</v>
      </c>
    </row>
    <row r="21" spans="3:17" x14ac:dyDescent="0.25">
      <c r="C21" s="39">
        <v>2024</v>
      </c>
      <c r="D21" s="39">
        <v>4</v>
      </c>
      <c r="E21" s="65">
        <f t="shared" si="9"/>
        <v>5529142.8571428563</v>
      </c>
      <c r="F21" s="64">
        <f t="shared" si="5"/>
        <v>0.14285714285714285</v>
      </c>
      <c r="G21" s="65">
        <f t="shared" si="5"/>
        <v>1382285.7142857143</v>
      </c>
      <c r="H21" s="65">
        <f t="shared" si="10"/>
        <v>5529142.8571428573</v>
      </c>
      <c r="I21" s="65">
        <f t="shared" si="6"/>
        <v>4146857.1428571418</v>
      </c>
      <c r="K21" s="39">
        <v>2024</v>
      </c>
      <c r="L21" s="39">
        <v>4</v>
      </c>
      <c r="M21" s="65">
        <f t="shared" si="11"/>
        <v>611428571.42857158</v>
      </c>
      <c r="N21" s="64">
        <f t="shared" ref="N21:O21" si="14">N20</f>
        <v>0.14285714285714285</v>
      </c>
      <c r="O21" s="65">
        <f t="shared" si="14"/>
        <v>152857142.85714284</v>
      </c>
      <c r="P21" s="65">
        <f t="shared" si="13"/>
        <v>611428571.42857134</v>
      </c>
      <c r="Q21" s="65">
        <f t="shared" si="8"/>
        <v>458571428.57142878</v>
      </c>
    </row>
    <row r="22" spans="3:17" x14ac:dyDescent="0.25">
      <c r="C22" s="39">
        <v>2025</v>
      </c>
      <c r="D22" s="39">
        <v>5</v>
      </c>
      <c r="E22" s="65">
        <f t="shared" si="9"/>
        <v>4146857.1428571418</v>
      </c>
      <c r="F22" s="64">
        <f t="shared" si="5"/>
        <v>0.14285714285714285</v>
      </c>
      <c r="G22" s="65">
        <f t="shared" si="5"/>
        <v>1382285.7142857143</v>
      </c>
      <c r="H22" s="65">
        <f t="shared" si="10"/>
        <v>6911428.5714285718</v>
      </c>
      <c r="I22" s="65">
        <f t="shared" si="6"/>
        <v>2764571.4285714272</v>
      </c>
      <c r="K22" s="39">
        <v>2025</v>
      </c>
      <c r="L22" s="39">
        <v>5</v>
      </c>
      <c r="M22" s="65">
        <f t="shared" si="11"/>
        <v>458571428.57142878</v>
      </c>
      <c r="N22" s="64">
        <f t="shared" ref="N22:O22" si="15">N21</f>
        <v>0.14285714285714285</v>
      </c>
      <c r="O22" s="65">
        <f t="shared" si="15"/>
        <v>152857142.85714284</v>
      </c>
      <c r="P22" s="65">
        <f t="shared" si="13"/>
        <v>764285714.28571415</v>
      </c>
      <c r="Q22" s="65">
        <f t="shared" si="8"/>
        <v>305714285.71428597</v>
      </c>
    </row>
    <row r="23" spans="3:17" x14ac:dyDescent="0.25">
      <c r="C23" s="39">
        <v>2026</v>
      </c>
      <c r="D23" s="39">
        <v>6</v>
      </c>
      <c r="E23" s="65">
        <f t="shared" si="9"/>
        <v>2764571.4285714272</v>
      </c>
      <c r="F23" s="64">
        <f t="shared" si="5"/>
        <v>0.14285714285714285</v>
      </c>
      <c r="G23" s="65">
        <f t="shared" si="5"/>
        <v>1382285.7142857143</v>
      </c>
      <c r="H23" s="65">
        <f t="shared" si="10"/>
        <v>8293714.2857142864</v>
      </c>
      <c r="I23" s="65">
        <f t="shared" si="6"/>
        <v>1382285.7142857129</v>
      </c>
      <c r="K23" s="39">
        <v>2026</v>
      </c>
      <c r="L23" s="39">
        <v>6</v>
      </c>
      <c r="M23" s="65">
        <f t="shared" si="11"/>
        <v>305714285.71428597</v>
      </c>
      <c r="N23" s="64">
        <f t="shared" ref="N23:O23" si="16">N22</f>
        <v>0.14285714285714285</v>
      </c>
      <c r="O23" s="65">
        <f t="shared" si="16"/>
        <v>152857142.85714284</v>
      </c>
      <c r="P23" s="65">
        <f t="shared" si="13"/>
        <v>917142857.14285696</v>
      </c>
      <c r="Q23" s="65">
        <f t="shared" si="8"/>
        <v>152857142.85714313</v>
      </c>
    </row>
    <row r="24" spans="3:17" x14ac:dyDescent="0.25">
      <c r="C24" s="39">
        <v>2027</v>
      </c>
      <c r="D24" s="39">
        <v>7</v>
      </c>
      <c r="E24" s="65">
        <f t="shared" si="9"/>
        <v>1382285.7142857129</v>
      </c>
      <c r="F24" s="64">
        <f t="shared" si="5"/>
        <v>0.14285714285714285</v>
      </c>
      <c r="G24" s="65">
        <f t="shared" si="5"/>
        <v>1382285.7142857143</v>
      </c>
      <c r="H24" s="65">
        <f t="shared" si="10"/>
        <v>9676000</v>
      </c>
      <c r="I24" s="65">
        <f t="shared" si="6"/>
        <v>0</v>
      </c>
      <c r="K24" s="39">
        <v>2027</v>
      </c>
      <c r="L24" s="39">
        <v>7</v>
      </c>
      <c r="M24" s="65">
        <f t="shared" si="11"/>
        <v>152857142.85714313</v>
      </c>
      <c r="N24" s="64">
        <f t="shared" ref="N24:O24" si="17">N23</f>
        <v>0.14285714285714285</v>
      </c>
      <c r="O24" s="65">
        <f t="shared" si="17"/>
        <v>152857142.85714284</v>
      </c>
      <c r="P24" s="65">
        <f t="shared" si="13"/>
        <v>1069999999.9999998</v>
      </c>
      <c r="Q24" s="65">
        <f t="shared" si="8"/>
        <v>2.9802322387695313E-7</v>
      </c>
    </row>
    <row r="26" spans="3:17" x14ac:dyDescent="0.25">
      <c r="I26" s="66"/>
    </row>
    <row r="27" spans="3:17" x14ac:dyDescent="0.25">
      <c r="E27" t="s">
        <v>95</v>
      </c>
      <c r="M27" t="s">
        <v>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Dash Board</vt:lpstr>
      <vt:lpstr>DCF</vt:lpstr>
      <vt:lpstr>Projections</vt:lpstr>
      <vt:lpstr>Operational Revenue</vt:lpstr>
      <vt:lpstr>WACC</vt:lpstr>
      <vt:lpstr>Loan Schedule &amp; WC</vt:lpstr>
      <vt:lpstr>Depriciation</vt:lpstr>
      <vt:lpstr>WACC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shahi</dc:creator>
  <cp:lastModifiedBy>Gaurav Kumar</cp:lastModifiedBy>
  <dcterms:created xsi:type="dcterms:W3CDTF">2020-12-14T05:13:50Z</dcterms:created>
  <dcterms:modified xsi:type="dcterms:W3CDTF">2021-08-05T13:03:58Z</dcterms:modified>
</cp:coreProperties>
</file>