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itya\Ms. Classi Mech-Equipments Pvt. Ltd\"/>
    </mc:Choice>
  </mc:AlternateContent>
  <bookViews>
    <workbookView xWindow="0" yWindow="0" windowWidth="15345" windowHeight="4650" firstSheet="1" activeTab="2"/>
  </bookViews>
  <sheets>
    <sheet name="Sheet1" sheetId="1" state="hidden" r:id="rId1"/>
    <sheet name="P &amp; M Working" sheetId="2" r:id="rId2"/>
    <sheet name="Summary"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3" l="1"/>
  <c r="O5" i="3"/>
  <c r="O9" i="3"/>
  <c r="Q10" i="3"/>
  <c r="O10" i="3"/>
  <c r="P6" i="3"/>
  <c r="N29" i="2"/>
  <c r="M21" i="2"/>
  <c r="G6" i="3"/>
  <c r="N26" i="2" l="1"/>
  <c r="M26" i="2"/>
  <c r="H6" i="3"/>
  <c r="N20" i="2"/>
  <c r="N19" i="2"/>
  <c r="N18" i="2"/>
  <c r="N17" i="2"/>
  <c r="N16" i="2"/>
  <c r="N15" i="2"/>
  <c r="N14" i="2"/>
  <c r="K30" i="2" l="1"/>
  <c r="N13" i="2"/>
  <c r="N12" i="2"/>
  <c r="N11" i="2"/>
  <c r="N10" i="2"/>
  <c r="N9" i="2"/>
  <c r="N8" i="2"/>
  <c r="N7" i="2"/>
  <c r="N6" i="2"/>
  <c r="N5" i="2"/>
  <c r="N21" i="2" l="1"/>
  <c r="I6" i="3" s="1"/>
  <c r="I7" i="3" s="1"/>
  <c r="I14" i="1"/>
  <c r="Q18" i="1"/>
  <c r="M9" i="1"/>
  <c r="K8" i="1"/>
  <c r="K7" i="1"/>
  <c r="K6" i="1"/>
</calcChain>
</file>

<file path=xl/sharedStrings.xml><?xml version="1.0" encoding="utf-8"?>
<sst xmlns="http://schemas.openxmlformats.org/spreadsheetml/2006/main" count="78" uniqueCount="56">
  <si>
    <t>Date of Valuation</t>
  </si>
  <si>
    <t xml:space="preserve">Sr. no </t>
  </si>
  <si>
    <t>Location</t>
  </si>
  <si>
    <t>Asset description</t>
  </si>
  <si>
    <t>Capacity</t>
  </si>
  <si>
    <t xml:space="preserve">Date of Capitalization </t>
  </si>
  <si>
    <r>
      <t xml:space="preserve">Operational Life Consumed                    </t>
    </r>
    <r>
      <rPr>
        <i/>
        <sz val="11"/>
        <color theme="1"/>
        <rFont val="Calibri"/>
        <family val="2"/>
        <scheme val="minor"/>
      </rPr>
      <t>(yrs)</t>
    </r>
  </si>
  <si>
    <r>
      <t xml:space="preserve">Estimated Economic life of the Assets                                     </t>
    </r>
    <r>
      <rPr>
        <i/>
        <sz val="11"/>
        <color theme="1"/>
        <rFont val="Calibri"/>
        <family val="2"/>
        <scheme val="minor"/>
      </rPr>
      <t>(Years)</t>
    </r>
  </si>
  <si>
    <t>Quantity</t>
  </si>
  <si>
    <t xml:space="preserve">Salvage Value </t>
  </si>
  <si>
    <t>Gross Current Replacement Cost</t>
  </si>
  <si>
    <t>Current Depreciated Replacement Value</t>
  </si>
  <si>
    <t>FORGE SHOP – I</t>
  </si>
  <si>
    <t>10 M/T</t>
  </si>
  <si>
    <t>more than 20 years</t>
  </si>
  <si>
    <t>7 M/T</t>
  </si>
  <si>
    <t>2000 MM</t>
  </si>
  <si>
    <t>200 pound</t>
  </si>
  <si>
    <t>FORGE SHOP – II</t>
  </si>
  <si>
    <t xml:space="preserve">                10 M/T</t>
  </si>
  <si>
    <t>HEAT TREATMENT SHOP</t>
  </si>
  <si>
    <t>10 MT</t>
  </si>
  <si>
    <t>5000 LT</t>
  </si>
  <si>
    <t>50000 LT</t>
  </si>
  <si>
    <t>Laser cutting machines with shuttle table, chiller and dust collector with utilities made in Amada Japan FOM 23015NT-LU 2.5 KV</t>
  </si>
  <si>
    <t xml:space="preserve">Turret punching press machine (58 stn) with utilities, Amada Make, Made in Japan Sr. no. 22550020, Model no. AE255NTPunching Capacity ( M.S - 0.8 mm to 3 mm, SS - 0.8 to 2mm, Aluminium 0.8 - to 5  mm) </t>
  </si>
  <si>
    <t>CNC press brake (Bending Machine) with utilities, capacities 80 Ton, made in Amada Japan Model No. RGM 28024 Sr. No. 80242066</t>
  </si>
  <si>
    <t>Vertical Milling centre with utilities, Model LV 55, Sr. No. 7400150</t>
  </si>
  <si>
    <t>Shearing Machine Sr. No. 110 138, Type HGN 31/8, Max cutting length 3050 mm, max back gauge limit 750 mm, cutting capacity (Ms 0.8 - 6 mm, SS 0.8 - 3 mm), (Aluminium 0.8 mm - 6 mm)</t>
  </si>
  <si>
    <t xml:space="preserve">Lathe Machine 4 ft. bed length </t>
  </si>
  <si>
    <t xml:space="preserve">Lathe Machine 10 ft. bed length </t>
  </si>
  <si>
    <t xml:space="preserve">Manual Horizontal Honing Machine Model M3 - 63 VS </t>
  </si>
  <si>
    <t xml:space="preserve">Bench Grinder </t>
  </si>
  <si>
    <t>Drill Machine</t>
  </si>
  <si>
    <t>Electric Hoist 2T</t>
  </si>
  <si>
    <t>Reciprocating Compressor ( Pressure 19.8kgf/cm)</t>
  </si>
  <si>
    <t xml:space="preserve">GX - 11F, Atlas copco screw air compressor </t>
  </si>
  <si>
    <t>Inverter Chiller, Model RKE 6500 A - VA - UP</t>
  </si>
  <si>
    <t xml:space="preserve">Gas Manifold </t>
  </si>
  <si>
    <t>TOTAL</t>
  </si>
  <si>
    <t>S.No.</t>
  </si>
  <si>
    <t>Description</t>
  </si>
  <si>
    <t xml:space="preserve">Gross Block </t>
  </si>
  <si>
    <t>Fair Market Value</t>
  </si>
  <si>
    <t>Plant &amp; Machinery</t>
  </si>
  <si>
    <t>Total</t>
  </si>
  <si>
    <t>Remarks:</t>
  </si>
  <si>
    <t>3. For Evaluating useful life for calculation of depriciation, chart of companies act 2013 is reffered.</t>
  </si>
  <si>
    <t>1. Asset items pertaining to M/s Classi Mech Equipments Pvt. Ltd., is only considered.</t>
  </si>
  <si>
    <t xml:space="preserve">2. The bank has provided us the OVR in which machine list is given for the purpose of valuation. This list has the capitalization of items based on the carpex incurred under various phases. Hence for the valuation purpose we have taken machine list having capex incurred. </t>
  </si>
  <si>
    <t>4. Replacement cost of all  machine is taken from market in which same type of machines are available for sale.</t>
  </si>
  <si>
    <r>
      <t>Gross Current Replacement/ Reproduction Cost</t>
    </r>
    <r>
      <rPr>
        <i/>
        <sz val="10"/>
        <color theme="1"/>
        <rFont val="Calibri"/>
        <family val="2"/>
        <scheme val="minor"/>
      </rPr>
      <t xml:space="preserve">
(as per Market comparable Machines)</t>
    </r>
  </si>
  <si>
    <t>6. Useful life of primary machine is taken as 15 years.For other auxillary machine life varies from 9-11 years.</t>
  </si>
  <si>
    <t>CNC Lathe Utilities Model LL20T L5, Sr. No. L2-00272</t>
  </si>
  <si>
    <t>ENCLOSURE-B: VALUATION OF PLANT AND MACHINERY  | M/S. CLASSI MECH EQUIPMENTS PVT. LTD. | VILLAGE - SATIVALI, TALUKA - VASAI, PALGHAR</t>
  </si>
  <si>
    <t>SUMMARY OF PLANT &amp; MACHINERY, M/S.CLASSI MECH EQUIPMENTS PVT. LTD., VILLAGE - SATIVALI, TALUKA - VASAI, DISTRICT - PALGHAR, MAHARASHTRA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</si>
</sst>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 [$₹-4009]\ * #,##0_ ;_ [$₹-4009]\ * \-#,##0_ ;_ [$₹-4009]\ * &quot;-&quot;_ ;_ @_ "/>
    <numFmt numFmtId="165" formatCode="_ [$₹-4009]\ * #,##0.00_ ;_ [$₹-4009]\ * \-#,##0.00_ ;_ [$₹-4009]\ * &quot;-&quot;??_ ;_ @_ "/>
    <numFmt numFmtId="166" formatCode="_ [$₹-4009]\ * #,##0_ ;_ [$₹-4009]\ * \-#,##0_ ;_ [$₹-4009]\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sz val="11"/>
      <name val="Calibri"/>
      <family val="2"/>
      <scheme val="minor"/>
    </font>
    <font>
      <i/>
      <sz val="11"/>
      <color theme="1"/>
      <name val="Calibri"/>
      <family val="2"/>
      <scheme val="minor"/>
    </font>
    <font>
      <sz val="10"/>
      <name val="Verdana"/>
      <family val="2"/>
    </font>
    <font>
      <b/>
      <sz val="11"/>
      <color theme="0"/>
      <name val="Calibri"/>
      <family val="2"/>
      <scheme val="minor"/>
    </font>
    <font>
      <b/>
      <sz val="12"/>
      <color theme="1"/>
      <name val="Calibri"/>
      <family val="2"/>
      <scheme val="minor"/>
    </font>
    <font>
      <i/>
      <sz val="10"/>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BAD2E2"/>
        <bgColor indexed="64"/>
      </patternFill>
    </fill>
    <fill>
      <patternFill patternType="solid">
        <fgColor theme="0"/>
        <bgColor indexed="64"/>
      </patternFill>
    </fill>
    <fill>
      <patternFill patternType="solid">
        <fgColor rgb="FF17185D"/>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44" fontId="2" fillId="3" borderId="1" xfId="1" applyFont="1" applyFill="1" applyBorder="1" applyAlignment="1">
      <alignment horizontal="center" vertical="center" wrapText="1"/>
    </xf>
    <xf numFmtId="44" fontId="2" fillId="3" borderId="6" xfId="1"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7" xfId="0" applyFont="1" applyFill="1" applyBorder="1" applyAlignment="1">
      <alignment horizontal="center" vertical="center"/>
    </xf>
    <xf numFmtId="9" fontId="5" fillId="4" borderId="1" xfId="0" applyNumberFormat="1" applyFont="1" applyFill="1" applyBorder="1" applyAlignment="1">
      <alignment horizontal="center" vertical="center"/>
    </xf>
    <xf numFmtId="0" fontId="7" fillId="4"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Fill="1"/>
    <xf numFmtId="0" fontId="5" fillId="0" borderId="1" xfId="0" applyNumberFormat="1" applyFont="1" applyFill="1" applyBorder="1" applyAlignment="1">
      <alignment horizontal="center" vertical="center" wrapText="1"/>
    </xf>
    <xf numFmtId="164" fontId="5" fillId="4" borderId="1" xfId="1" applyNumberFormat="1" applyFont="1" applyFill="1" applyBorder="1" applyAlignment="1">
      <alignment horizontal="center" vertical="center"/>
    </xf>
    <xf numFmtId="164" fontId="5" fillId="4" borderId="6" xfId="1" applyNumberFormat="1" applyFont="1" applyFill="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5" fillId="0" borderId="5" xfId="0" applyFont="1" applyFill="1" applyBorder="1" applyAlignment="1">
      <alignment horizontal="center" vertical="center"/>
    </xf>
    <xf numFmtId="0" fontId="5"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9" fontId="5" fillId="0" borderId="1" xfId="0" applyNumberFormat="1" applyFont="1" applyFill="1" applyBorder="1" applyAlignment="1">
      <alignment horizontal="center" vertical="center"/>
    </xf>
    <xf numFmtId="164" fontId="5" fillId="0" borderId="1" xfId="1" applyNumberFormat="1" applyFont="1" applyFill="1" applyBorder="1" applyAlignment="1">
      <alignment horizontal="center" vertical="center"/>
    </xf>
    <xf numFmtId="164" fontId="5" fillId="0" borderId="6" xfId="1" applyNumberFormat="1" applyFont="1" applyFill="1" applyBorder="1" applyAlignment="1">
      <alignment horizontal="center" vertical="center"/>
    </xf>
    <xf numFmtId="164" fontId="0" fillId="0" borderId="0" xfId="0" applyNumberFormat="1"/>
    <xf numFmtId="165" fontId="0" fillId="0" borderId="0" xfId="0" applyNumberFormat="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0" fillId="0" borderId="1" xfId="0" applyBorder="1" applyAlignment="1">
      <alignment horizontal="center" vertical="center"/>
    </xf>
    <xf numFmtId="166" fontId="0"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166" fontId="2" fillId="0" borderId="1" xfId="0" applyNumberFormat="1" applyFont="1" applyFill="1" applyBorder="1" applyAlignment="1">
      <alignment horizontal="center" vertical="center"/>
    </xf>
    <xf numFmtId="0" fontId="11" fillId="0" borderId="1" xfId="0" applyFont="1" applyBorder="1" applyAlignment="1">
      <alignment horizontal="left"/>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left" vertical="center"/>
    </xf>
    <xf numFmtId="0" fontId="7" fillId="0" borderId="7" xfId="0" applyFont="1" applyFill="1" applyBorder="1" applyAlignment="1">
      <alignment horizontal="center" vertical="center" wrapText="1"/>
    </xf>
    <xf numFmtId="164" fontId="2" fillId="0" borderId="1" xfId="0" applyNumberFormat="1" applyFont="1" applyBorder="1"/>
    <xf numFmtId="164" fontId="4" fillId="4" borderId="6" xfId="1" applyNumberFormat="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itya/Mayur%20Ply/Deed%20Bifur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ur Ply Land"/>
      <sheetName val="P&amp;M Working"/>
      <sheetName val="Sheet1"/>
      <sheetName val="Building Sheet"/>
      <sheetName val="Summary"/>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Q18"/>
  <sheetViews>
    <sheetView workbookViewId="0">
      <selection activeCell="I14" sqref="I14"/>
    </sheetView>
  </sheetViews>
  <sheetFormatPr defaultRowHeight="15" x14ac:dyDescent="0.25"/>
  <cols>
    <col min="9" max="9" width="10" bestFit="1" customWidth="1"/>
  </cols>
  <sheetData>
    <row r="4" spans="9:13" x14ac:dyDescent="0.25">
      <c r="I4">
        <v>8000</v>
      </c>
    </row>
    <row r="6" spans="9:13" x14ac:dyDescent="0.25">
      <c r="K6">
        <f>9205*6000</f>
        <v>55230000</v>
      </c>
    </row>
    <row r="7" spans="9:13" x14ac:dyDescent="0.25">
      <c r="K7">
        <f>6500*1000</f>
        <v>6500000</v>
      </c>
    </row>
    <row r="8" spans="9:13" x14ac:dyDescent="0.25">
      <c r="K8">
        <f>K6-K7</f>
        <v>48730000</v>
      </c>
    </row>
    <row r="9" spans="9:13" x14ac:dyDescent="0.25">
      <c r="M9">
        <f>K8/9205.18</f>
        <v>5293.7585142278585</v>
      </c>
    </row>
    <row r="14" spans="9:13" x14ac:dyDescent="0.25">
      <c r="I14">
        <f>9753.7*1100</f>
        <v>10729070</v>
      </c>
    </row>
    <row r="18" spans="17:17" x14ac:dyDescent="0.25">
      <c r="Q18">
        <f>8000/10.764</f>
        <v>743.21813452248239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0"/>
  <sheetViews>
    <sheetView zoomScale="85" zoomScaleNormal="85" workbookViewId="0">
      <selection activeCell="I7" sqref="I7"/>
    </sheetView>
  </sheetViews>
  <sheetFormatPr defaultRowHeight="15" x14ac:dyDescent="0.25"/>
  <cols>
    <col min="4" max="4" width="23.140625" hidden="1" customWidth="1"/>
    <col min="5" max="5" width="50.28515625" customWidth="1"/>
    <col min="6" max="6" width="10.7109375" hidden="1" customWidth="1"/>
    <col min="7" max="7" width="10.42578125" bestFit="1" customWidth="1"/>
    <col min="8" max="8" width="9" bestFit="1" customWidth="1"/>
    <col min="9" max="9" width="12.42578125" style="18" customWidth="1"/>
    <col min="10" max="10" width="12.7109375" customWidth="1"/>
    <col min="11" max="11" width="15.7109375" customWidth="1"/>
    <col min="12" max="12" width="11.7109375" customWidth="1"/>
    <col min="13" max="13" width="17.28515625" bestFit="1" customWidth="1"/>
    <col min="14" max="14" width="16.7109375" customWidth="1"/>
    <col min="15" max="15" width="13.28515625" customWidth="1"/>
    <col min="16" max="16" width="12.42578125" customWidth="1"/>
    <col min="17" max="17" width="13.42578125" customWidth="1"/>
    <col min="18" max="18" width="11.5703125" customWidth="1"/>
    <col min="19" max="19" width="13" customWidth="1"/>
  </cols>
  <sheetData>
    <row r="2" spans="3:14" ht="15.75" thickBot="1" x14ac:dyDescent="0.3"/>
    <row r="3" spans="3:14" ht="15.75" customHeight="1" x14ac:dyDescent="0.25">
      <c r="C3" s="15" t="s">
        <v>54</v>
      </c>
      <c r="D3" s="16"/>
      <c r="E3" s="16"/>
      <c r="F3" s="16"/>
      <c r="G3" s="16"/>
      <c r="H3" s="16"/>
      <c r="I3" s="16"/>
      <c r="J3" s="16"/>
      <c r="K3" s="16"/>
      <c r="L3" s="16"/>
      <c r="M3" s="16"/>
      <c r="N3" s="17"/>
    </row>
    <row r="4" spans="3:14" ht="75" x14ac:dyDescent="0.25">
      <c r="C4" s="1" t="s">
        <v>1</v>
      </c>
      <c r="D4" s="2" t="s">
        <v>2</v>
      </c>
      <c r="E4" s="2" t="s">
        <v>3</v>
      </c>
      <c r="F4" s="2" t="s">
        <v>4</v>
      </c>
      <c r="G4" s="2" t="s">
        <v>5</v>
      </c>
      <c r="H4" s="3" t="s">
        <v>0</v>
      </c>
      <c r="I4" s="2" t="s">
        <v>6</v>
      </c>
      <c r="J4" s="2" t="s">
        <v>7</v>
      </c>
      <c r="K4" s="2" t="s">
        <v>8</v>
      </c>
      <c r="L4" s="2" t="s">
        <v>9</v>
      </c>
      <c r="M4" s="4" t="s">
        <v>10</v>
      </c>
      <c r="N4" s="5" t="s">
        <v>11</v>
      </c>
    </row>
    <row r="5" spans="3:14" ht="45" x14ac:dyDescent="0.25">
      <c r="C5" s="6">
        <v>1</v>
      </c>
      <c r="D5" s="7" t="s">
        <v>12</v>
      </c>
      <c r="E5" s="7" t="s">
        <v>24</v>
      </c>
      <c r="F5" s="8" t="s">
        <v>13</v>
      </c>
      <c r="G5" s="9">
        <v>2010</v>
      </c>
      <c r="H5" s="10">
        <v>2022</v>
      </c>
      <c r="I5" s="19" t="s">
        <v>14</v>
      </c>
      <c r="J5" s="11">
        <v>15</v>
      </c>
      <c r="K5" s="12">
        <v>1</v>
      </c>
      <c r="L5" s="13">
        <v>0.1</v>
      </c>
      <c r="M5" s="20">
        <v>11500000</v>
      </c>
      <c r="N5" s="21">
        <f>K5*L5*M5</f>
        <v>1150000</v>
      </c>
    </row>
    <row r="6" spans="3:14" ht="60" x14ac:dyDescent="0.25">
      <c r="C6" s="6">
        <v>2</v>
      </c>
      <c r="D6" s="7" t="s">
        <v>12</v>
      </c>
      <c r="E6" s="7" t="s">
        <v>25</v>
      </c>
      <c r="F6" s="8" t="s">
        <v>15</v>
      </c>
      <c r="G6" s="9">
        <v>2010</v>
      </c>
      <c r="H6" s="10">
        <v>2022</v>
      </c>
      <c r="I6" s="19" t="s">
        <v>14</v>
      </c>
      <c r="J6" s="11">
        <v>15</v>
      </c>
      <c r="K6" s="12">
        <v>1</v>
      </c>
      <c r="L6" s="13">
        <v>0.1</v>
      </c>
      <c r="M6" s="20">
        <v>5565000</v>
      </c>
      <c r="N6" s="21">
        <f t="shared" ref="N6:N21" si="0">K6*L6*M6</f>
        <v>556500</v>
      </c>
    </row>
    <row r="7" spans="3:14" s="18" customFormat="1" ht="45" x14ac:dyDescent="0.25">
      <c r="C7" s="25">
        <v>3</v>
      </c>
      <c r="D7" s="26" t="s">
        <v>12</v>
      </c>
      <c r="E7" s="26" t="s">
        <v>26</v>
      </c>
      <c r="F7" s="27" t="s">
        <v>16</v>
      </c>
      <c r="G7" s="28">
        <v>2010</v>
      </c>
      <c r="H7" s="29">
        <v>2022</v>
      </c>
      <c r="I7" s="19" t="s">
        <v>14</v>
      </c>
      <c r="J7" s="30">
        <v>15</v>
      </c>
      <c r="K7" s="31">
        <v>1</v>
      </c>
      <c r="L7" s="32">
        <v>0.1</v>
      </c>
      <c r="M7" s="33">
        <v>900000</v>
      </c>
      <c r="N7" s="34">
        <f t="shared" si="0"/>
        <v>90000</v>
      </c>
    </row>
    <row r="8" spans="3:14" ht="30" x14ac:dyDescent="0.25">
      <c r="C8" s="6">
        <v>4</v>
      </c>
      <c r="D8" s="7" t="s">
        <v>12</v>
      </c>
      <c r="E8" s="7" t="s">
        <v>27</v>
      </c>
      <c r="F8" s="8" t="s">
        <v>17</v>
      </c>
      <c r="G8" s="9">
        <v>2010</v>
      </c>
      <c r="H8" s="10">
        <v>2022</v>
      </c>
      <c r="I8" s="19" t="s">
        <v>14</v>
      </c>
      <c r="J8" s="11">
        <v>15</v>
      </c>
      <c r="K8" s="14">
        <v>1</v>
      </c>
      <c r="L8" s="13">
        <v>0.1</v>
      </c>
      <c r="M8" s="20">
        <v>140000</v>
      </c>
      <c r="N8" s="21">
        <f t="shared" si="0"/>
        <v>14000</v>
      </c>
    </row>
    <row r="9" spans="3:14" ht="30" x14ac:dyDescent="0.25">
      <c r="C9" s="6">
        <v>5</v>
      </c>
      <c r="D9" s="7" t="s">
        <v>18</v>
      </c>
      <c r="E9" s="7" t="s">
        <v>53</v>
      </c>
      <c r="F9" s="8" t="s">
        <v>15</v>
      </c>
      <c r="G9" s="9">
        <v>2010</v>
      </c>
      <c r="H9" s="10">
        <v>2022</v>
      </c>
      <c r="I9" s="19" t="s">
        <v>14</v>
      </c>
      <c r="J9" s="11">
        <v>15</v>
      </c>
      <c r="K9" s="14">
        <v>1</v>
      </c>
      <c r="L9" s="13">
        <v>0.1</v>
      </c>
      <c r="M9" s="20">
        <v>800000</v>
      </c>
      <c r="N9" s="21">
        <f t="shared" si="0"/>
        <v>80000</v>
      </c>
    </row>
    <row r="10" spans="3:14" s="18" customFormat="1" ht="60" x14ac:dyDescent="0.25">
      <c r="C10" s="25">
        <v>6</v>
      </c>
      <c r="D10" s="26" t="s">
        <v>18</v>
      </c>
      <c r="E10" s="26" t="s">
        <v>28</v>
      </c>
      <c r="F10" s="27" t="s">
        <v>19</v>
      </c>
      <c r="G10" s="28">
        <v>2011</v>
      </c>
      <c r="H10" s="29">
        <v>2022</v>
      </c>
      <c r="I10" s="19" t="s">
        <v>14</v>
      </c>
      <c r="J10" s="30">
        <v>15</v>
      </c>
      <c r="K10" s="55">
        <v>1</v>
      </c>
      <c r="L10" s="32">
        <v>0.1</v>
      </c>
      <c r="M10" s="33">
        <v>875000</v>
      </c>
      <c r="N10" s="34">
        <f t="shared" si="0"/>
        <v>87500</v>
      </c>
    </row>
    <row r="11" spans="3:14" ht="30" x14ac:dyDescent="0.25">
      <c r="C11" s="6">
        <v>7</v>
      </c>
      <c r="D11" s="7" t="s">
        <v>20</v>
      </c>
      <c r="E11" s="7" t="s">
        <v>29</v>
      </c>
      <c r="F11" s="8" t="s">
        <v>21</v>
      </c>
      <c r="G11" s="9">
        <v>2010</v>
      </c>
      <c r="H11" s="10">
        <v>2022</v>
      </c>
      <c r="I11" s="19" t="s">
        <v>14</v>
      </c>
      <c r="J11" s="11">
        <v>15</v>
      </c>
      <c r="K11" s="14">
        <v>4</v>
      </c>
      <c r="L11" s="13">
        <v>0.1</v>
      </c>
      <c r="M11" s="20">
        <v>110000</v>
      </c>
      <c r="N11" s="21">
        <f t="shared" si="0"/>
        <v>44000</v>
      </c>
    </row>
    <row r="12" spans="3:14" ht="30" x14ac:dyDescent="0.25">
      <c r="C12" s="6">
        <v>8</v>
      </c>
      <c r="D12" s="7" t="s">
        <v>20</v>
      </c>
      <c r="E12" s="7" t="s">
        <v>30</v>
      </c>
      <c r="F12" s="8" t="s">
        <v>22</v>
      </c>
      <c r="G12" s="9">
        <v>2010</v>
      </c>
      <c r="H12" s="10">
        <v>2022</v>
      </c>
      <c r="I12" s="19" t="s">
        <v>14</v>
      </c>
      <c r="J12" s="11">
        <v>15</v>
      </c>
      <c r="K12" s="14">
        <v>1</v>
      </c>
      <c r="L12" s="13">
        <v>0.1</v>
      </c>
      <c r="M12" s="20">
        <v>238000</v>
      </c>
      <c r="N12" s="21">
        <f t="shared" si="0"/>
        <v>23800</v>
      </c>
    </row>
    <row r="13" spans="3:14" ht="30" x14ac:dyDescent="0.25">
      <c r="C13" s="6">
        <v>9</v>
      </c>
      <c r="D13" s="7" t="s">
        <v>20</v>
      </c>
      <c r="E13" s="7" t="s">
        <v>31</v>
      </c>
      <c r="F13" s="8" t="s">
        <v>23</v>
      </c>
      <c r="G13" s="9">
        <v>2010</v>
      </c>
      <c r="H13" s="10">
        <v>2022</v>
      </c>
      <c r="I13" s="19" t="s">
        <v>14</v>
      </c>
      <c r="J13" s="11">
        <v>15</v>
      </c>
      <c r="K13" s="14">
        <v>1</v>
      </c>
      <c r="L13" s="13">
        <v>0.1</v>
      </c>
      <c r="M13" s="20">
        <v>450000</v>
      </c>
      <c r="N13" s="21">
        <f t="shared" si="0"/>
        <v>45000</v>
      </c>
    </row>
    <row r="14" spans="3:14" ht="30" x14ac:dyDescent="0.25">
      <c r="C14" s="39">
        <v>10</v>
      </c>
      <c r="D14" s="39"/>
      <c r="E14" s="54" t="s">
        <v>32</v>
      </c>
      <c r="F14" s="39"/>
      <c r="G14" s="39">
        <v>2010</v>
      </c>
      <c r="H14" s="39">
        <v>2022</v>
      </c>
      <c r="I14" s="19" t="s">
        <v>14</v>
      </c>
      <c r="J14" s="39">
        <v>15</v>
      </c>
      <c r="K14" s="39">
        <v>2</v>
      </c>
      <c r="L14" s="13">
        <v>0.1</v>
      </c>
      <c r="M14" s="20">
        <v>4452</v>
      </c>
      <c r="N14" s="21">
        <f t="shared" si="0"/>
        <v>890.40000000000009</v>
      </c>
    </row>
    <row r="15" spans="3:14" ht="30" x14ac:dyDescent="0.25">
      <c r="C15" s="39">
        <v>11</v>
      </c>
      <c r="D15" s="39"/>
      <c r="E15" s="54" t="s">
        <v>33</v>
      </c>
      <c r="F15" s="39"/>
      <c r="G15" s="39">
        <v>2010</v>
      </c>
      <c r="H15" s="39">
        <v>2022</v>
      </c>
      <c r="I15" s="19" t="s">
        <v>14</v>
      </c>
      <c r="J15" s="39">
        <v>15</v>
      </c>
      <c r="K15" s="39">
        <v>3</v>
      </c>
      <c r="L15" s="13">
        <v>0.1</v>
      </c>
      <c r="M15" s="20">
        <v>3290</v>
      </c>
      <c r="N15" s="21">
        <f t="shared" si="0"/>
        <v>987.00000000000011</v>
      </c>
    </row>
    <row r="16" spans="3:14" ht="30" x14ac:dyDescent="0.25">
      <c r="C16" s="39">
        <v>12</v>
      </c>
      <c r="D16" s="39"/>
      <c r="E16" s="54" t="s">
        <v>34</v>
      </c>
      <c r="F16" s="39"/>
      <c r="G16" s="39">
        <v>2010</v>
      </c>
      <c r="H16" s="39">
        <v>2022</v>
      </c>
      <c r="I16" s="19" t="s">
        <v>14</v>
      </c>
      <c r="J16" s="39">
        <v>15</v>
      </c>
      <c r="K16" s="39">
        <v>2</v>
      </c>
      <c r="L16" s="13">
        <v>0.1</v>
      </c>
      <c r="M16" s="20">
        <v>45000</v>
      </c>
      <c r="N16" s="21">
        <f t="shared" si="0"/>
        <v>9000</v>
      </c>
    </row>
    <row r="17" spans="3:14" ht="30" x14ac:dyDescent="0.25">
      <c r="C17" s="39">
        <v>14</v>
      </c>
      <c r="D17" s="39"/>
      <c r="E17" s="54" t="s">
        <v>35</v>
      </c>
      <c r="F17" s="39"/>
      <c r="G17" s="39">
        <v>2010</v>
      </c>
      <c r="H17" s="39">
        <v>2022</v>
      </c>
      <c r="I17" s="19" t="s">
        <v>14</v>
      </c>
      <c r="J17" s="39">
        <v>15</v>
      </c>
      <c r="K17" s="39">
        <v>1</v>
      </c>
      <c r="L17" s="13">
        <v>0.1</v>
      </c>
      <c r="M17" s="20">
        <v>48000</v>
      </c>
      <c r="N17" s="21">
        <f t="shared" si="0"/>
        <v>4800</v>
      </c>
    </row>
    <row r="18" spans="3:14" ht="30" x14ac:dyDescent="0.25">
      <c r="C18" s="39">
        <v>15</v>
      </c>
      <c r="D18" s="39"/>
      <c r="E18" s="54" t="s">
        <v>36</v>
      </c>
      <c r="F18" s="39"/>
      <c r="G18" s="39">
        <v>2011</v>
      </c>
      <c r="H18" s="39">
        <v>2022</v>
      </c>
      <c r="I18" s="19" t="s">
        <v>14</v>
      </c>
      <c r="J18" s="39">
        <v>15</v>
      </c>
      <c r="K18" s="39">
        <v>2</v>
      </c>
      <c r="L18" s="13">
        <v>0.1</v>
      </c>
      <c r="M18" s="20">
        <v>50000</v>
      </c>
      <c r="N18" s="21">
        <f t="shared" si="0"/>
        <v>10000</v>
      </c>
    </row>
    <row r="19" spans="3:14" ht="30" x14ac:dyDescent="0.25">
      <c r="C19" s="39">
        <v>16</v>
      </c>
      <c r="D19" s="39"/>
      <c r="E19" s="54" t="s">
        <v>37</v>
      </c>
      <c r="F19" s="39"/>
      <c r="G19" s="39">
        <v>2010</v>
      </c>
      <c r="H19" s="39">
        <v>2022</v>
      </c>
      <c r="I19" s="19" t="s">
        <v>14</v>
      </c>
      <c r="J19" s="39">
        <v>15</v>
      </c>
      <c r="K19" s="39">
        <v>1</v>
      </c>
      <c r="L19" s="13">
        <v>0.1</v>
      </c>
      <c r="M19" s="20">
        <v>300000</v>
      </c>
      <c r="N19" s="21">
        <f t="shared" si="0"/>
        <v>30000</v>
      </c>
    </row>
    <row r="20" spans="3:14" ht="30" x14ac:dyDescent="0.25">
      <c r="C20" s="39">
        <v>17</v>
      </c>
      <c r="D20" s="39"/>
      <c r="E20" s="54" t="s">
        <v>38</v>
      </c>
      <c r="F20" s="39"/>
      <c r="G20" s="39">
        <v>2010</v>
      </c>
      <c r="H20" s="39">
        <v>2022</v>
      </c>
      <c r="I20" s="19" t="s">
        <v>14</v>
      </c>
      <c r="J20" s="39">
        <v>15</v>
      </c>
      <c r="K20" s="39">
        <v>1</v>
      </c>
      <c r="L20" s="13">
        <v>0.1</v>
      </c>
      <c r="M20" s="20">
        <v>3550</v>
      </c>
      <c r="N20" s="21">
        <f t="shared" si="0"/>
        <v>355</v>
      </c>
    </row>
    <row r="21" spans="3:14" ht="15.75" x14ac:dyDescent="0.25">
      <c r="C21" s="22" t="s">
        <v>39</v>
      </c>
      <c r="D21" s="23"/>
      <c r="E21" s="23"/>
      <c r="F21" s="23"/>
      <c r="G21" s="23"/>
      <c r="H21" s="23"/>
      <c r="I21" s="23"/>
      <c r="J21" s="23"/>
      <c r="K21" s="23"/>
      <c r="L21" s="24"/>
      <c r="M21" s="56">
        <f>SUM(M5:M20)</f>
        <v>21032292</v>
      </c>
      <c r="N21" s="57">
        <f>SUM(N5:N20)</f>
        <v>2146832.4</v>
      </c>
    </row>
    <row r="26" spans="3:14" x14ac:dyDescent="0.25">
      <c r="M26">
        <f>21000000*(1*10%)</f>
        <v>2100000</v>
      </c>
      <c r="N26">
        <f>M21*(1*10%)</f>
        <v>2103229.2000000002</v>
      </c>
    </row>
    <row r="29" spans="3:14" x14ac:dyDescent="0.25">
      <c r="N29" s="35">
        <f>N21+41423310+10729070</f>
        <v>54299212.399999999</v>
      </c>
    </row>
    <row r="30" spans="3:14" x14ac:dyDescent="0.25">
      <c r="K30" s="36">
        <f>M21*10%</f>
        <v>2103229.2000000002</v>
      </c>
    </row>
  </sheetData>
  <mergeCells count="2">
    <mergeCell ref="C3:N3"/>
    <mergeCell ref="C21:L2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Q13"/>
  <sheetViews>
    <sheetView tabSelected="1" workbookViewId="0">
      <selection activeCell="O12" sqref="O12"/>
    </sheetView>
  </sheetViews>
  <sheetFormatPr defaultRowHeight="15" x14ac:dyDescent="0.25"/>
  <cols>
    <col min="5" max="5" width="5.7109375" bestFit="1" customWidth="1"/>
    <col min="6" max="6" width="13.28515625" customWidth="1"/>
    <col min="7" max="7" width="16.5703125" hidden="1" customWidth="1"/>
    <col min="8" max="8" width="28.85546875" customWidth="1"/>
    <col min="9" max="9" width="27.28515625" customWidth="1"/>
  </cols>
  <sheetData>
    <row r="4" spans="5:17" ht="38.25" customHeight="1" x14ac:dyDescent="0.25">
      <c r="E4" s="49" t="s">
        <v>55</v>
      </c>
      <c r="F4" s="50"/>
      <c r="G4" s="50"/>
      <c r="H4" s="50"/>
      <c r="I4" s="51"/>
    </row>
    <row r="5" spans="5:17" ht="55.5" x14ac:dyDescent="0.25">
      <c r="E5" s="37" t="s">
        <v>40</v>
      </c>
      <c r="F5" s="37" t="s">
        <v>41</v>
      </c>
      <c r="G5" s="37" t="s">
        <v>42</v>
      </c>
      <c r="H5" s="38" t="s">
        <v>51</v>
      </c>
      <c r="I5" s="38" t="s">
        <v>43</v>
      </c>
      <c r="O5">
        <f>200*9</f>
        <v>1800</v>
      </c>
    </row>
    <row r="6" spans="5:17" ht="30" x14ac:dyDescent="0.25">
      <c r="E6" s="39">
        <v>1</v>
      </c>
      <c r="F6" s="52" t="s">
        <v>44</v>
      </c>
      <c r="G6" s="40">
        <f>'[1]P&amp;M Working'!N30</f>
        <v>0</v>
      </c>
      <c r="H6" s="53">
        <f>'P &amp; M Working'!M21</f>
        <v>21032292</v>
      </c>
      <c r="I6" s="40">
        <f>'P &amp; M Working'!N21</f>
        <v>2146832.4</v>
      </c>
      <c r="P6">
        <f>1800*5000</f>
        <v>9000000</v>
      </c>
    </row>
    <row r="7" spans="5:17" x14ac:dyDescent="0.25">
      <c r="E7" s="41"/>
      <c r="F7" s="42" t="s">
        <v>45</v>
      </c>
      <c r="G7" s="42"/>
      <c r="H7" s="42"/>
      <c r="I7" s="43">
        <f>SUM(I6:I6)</f>
        <v>2146832.4</v>
      </c>
    </row>
    <row r="8" spans="5:17" ht="12.75" customHeight="1" x14ac:dyDescent="0.25">
      <c r="E8" s="44" t="s">
        <v>46</v>
      </c>
      <c r="F8" s="44"/>
      <c r="G8" s="44"/>
      <c r="H8" s="44"/>
      <c r="I8" s="44"/>
    </row>
    <row r="9" spans="5:17" ht="30" customHeight="1" x14ac:dyDescent="0.25">
      <c r="E9" s="45" t="s">
        <v>48</v>
      </c>
      <c r="F9" s="45"/>
      <c r="G9" s="45"/>
      <c r="H9" s="45"/>
      <c r="I9" s="45"/>
      <c r="O9">
        <f>4600*1800</f>
        <v>8280000</v>
      </c>
    </row>
    <row r="10" spans="5:17" ht="65.25" customHeight="1" x14ac:dyDescent="0.25">
      <c r="E10" s="46" t="s">
        <v>49</v>
      </c>
      <c r="F10" s="47"/>
      <c r="G10" s="47"/>
      <c r="H10" s="47"/>
      <c r="I10" s="48"/>
      <c r="O10">
        <f>5000*9</f>
        <v>45000</v>
      </c>
      <c r="Q10">
        <f>1800*4000</f>
        <v>7200000</v>
      </c>
    </row>
    <row r="11" spans="5:17" ht="33.75" customHeight="1" x14ac:dyDescent="0.25">
      <c r="E11" s="45" t="s">
        <v>47</v>
      </c>
      <c r="F11" s="45"/>
      <c r="G11" s="45"/>
      <c r="H11" s="45"/>
      <c r="I11" s="45"/>
      <c r="O11">
        <f>500000*(1-20%)</f>
        <v>400000</v>
      </c>
    </row>
    <row r="12" spans="5:17" ht="34.5" customHeight="1" x14ac:dyDescent="0.25">
      <c r="E12" s="45" t="s">
        <v>50</v>
      </c>
      <c r="F12" s="45"/>
      <c r="G12" s="45"/>
      <c r="H12" s="45"/>
      <c r="I12" s="45"/>
    </row>
    <row r="13" spans="5:17" ht="36.75" customHeight="1" x14ac:dyDescent="0.25">
      <c r="E13" s="45" t="s">
        <v>52</v>
      </c>
      <c r="F13" s="45"/>
      <c r="G13" s="45"/>
      <c r="H13" s="45"/>
      <c r="I13" s="45"/>
    </row>
  </sheetData>
  <mergeCells count="8">
    <mergeCell ref="E12:I12"/>
    <mergeCell ref="E13:I13"/>
    <mergeCell ref="E4:I4"/>
    <mergeCell ref="F7:H7"/>
    <mergeCell ref="E8:I8"/>
    <mergeCell ref="E9:I9"/>
    <mergeCell ref="E10:I10"/>
    <mergeCell ref="E11:I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P &amp; M Working</vt:lpstr>
      <vt:lpstr>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Aditya</cp:lastModifiedBy>
  <dcterms:created xsi:type="dcterms:W3CDTF">2021-12-31T06:37:09Z</dcterms:created>
  <dcterms:modified xsi:type="dcterms:W3CDTF">2022-01-03T12:41:50Z</dcterms:modified>
</cp:coreProperties>
</file>