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ocuments\Downloads\PL 836 -736-934_printing_1641820409\uploads\VIS(2021-22)-PL836-736-934\PreparerReport\"/>
    </mc:Choice>
  </mc:AlternateContent>
  <bookViews>
    <workbookView xWindow="0" yWindow="0" windowWidth="15345" windowHeight="4650" firstSheet="1" activeTab="2"/>
  </bookViews>
  <sheets>
    <sheet name="Sheet1" sheetId="1" state="hidden" r:id="rId1"/>
    <sheet name="P &amp; M Working" sheetId="2" r:id="rId2"/>
    <sheet name="Summary"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 l="1"/>
  <c r="I7" i="2"/>
  <c r="I8" i="2"/>
  <c r="I9" i="2"/>
  <c r="I10" i="2"/>
  <c r="I11" i="2"/>
  <c r="I12" i="2"/>
  <c r="I13" i="2"/>
  <c r="I14" i="2"/>
  <c r="I15" i="2"/>
  <c r="I16" i="2"/>
  <c r="I17" i="2"/>
  <c r="I18" i="2"/>
  <c r="I19" i="2"/>
  <c r="I20" i="2"/>
  <c r="I5" i="2"/>
  <c r="O11" i="3" l="1"/>
  <c r="O5" i="3"/>
  <c r="O9" i="3"/>
  <c r="Q10" i="3"/>
  <c r="O10" i="3"/>
  <c r="P6" i="3"/>
  <c r="M21" i="2"/>
  <c r="G6" i="3"/>
  <c r="N26" i="2" l="1"/>
  <c r="M26" i="2"/>
  <c r="H6" i="3"/>
  <c r="N20" i="2"/>
  <c r="N19" i="2"/>
  <c r="N18" i="2"/>
  <c r="N17" i="2"/>
  <c r="N16" i="2"/>
  <c r="N15" i="2"/>
  <c r="N14" i="2"/>
  <c r="K30" i="2" l="1"/>
  <c r="N13" i="2"/>
  <c r="N12" i="2"/>
  <c r="N11" i="2"/>
  <c r="N10" i="2"/>
  <c r="N9" i="2"/>
  <c r="N8" i="2"/>
  <c r="N7" i="2"/>
  <c r="N6" i="2"/>
  <c r="N5" i="2"/>
  <c r="N21" i="2" l="1"/>
  <c r="I14" i="1"/>
  <c r="Q18" i="1"/>
  <c r="K7" i="1"/>
  <c r="K6" i="1"/>
  <c r="K8" i="1" s="1"/>
  <c r="M9" i="1" s="1"/>
  <c r="I6" i="3" l="1"/>
  <c r="I7" i="3" s="1"/>
  <c r="N29" i="2"/>
</calcChain>
</file>

<file path=xl/sharedStrings.xml><?xml version="1.0" encoding="utf-8"?>
<sst xmlns="http://schemas.openxmlformats.org/spreadsheetml/2006/main" count="62" uniqueCount="55">
  <si>
    <t>Date of Valuation</t>
  </si>
  <si>
    <t xml:space="preserve">Sr. no </t>
  </si>
  <si>
    <t>Location</t>
  </si>
  <si>
    <t>Asset description</t>
  </si>
  <si>
    <t>Capacity</t>
  </si>
  <si>
    <t xml:space="preserve">Date of Capitalization </t>
  </si>
  <si>
    <r>
      <t xml:space="preserve">Estimated Economic life of the Assets                                     </t>
    </r>
    <r>
      <rPr>
        <i/>
        <sz val="11"/>
        <color theme="1"/>
        <rFont val="Calibri"/>
        <family val="2"/>
        <scheme val="minor"/>
      </rPr>
      <t>(Years)</t>
    </r>
  </si>
  <si>
    <t>Quantity</t>
  </si>
  <si>
    <t xml:space="preserve">Salvage Value </t>
  </si>
  <si>
    <t>Gross Current Replacement Cost</t>
  </si>
  <si>
    <t>Current Depreciated Replacement Value</t>
  </si>
  <si>
    <t>FORGE SHOP – I</t>
  </si>
  <si>
    <t>10 M/T</t>
  </si>
  <si>
    <t>7 M/T</t>
  </si>
  <si>
    <t>2000 MM</t>
  </si>
  <si>
    <t>200 pound</t>
  </si>
  <si>
    <t>FORGE SHOP – II</t>
  </si>
  <si>
    <t xml:space="preserve">                10 M/T</t>
  </si>
  <si>
    <t>HEAT TREATMENT SHOP</t>
  </si>
  <si>
    <t>10 MT</t>
  </si>
  <si>
    <t>5000 LT</t>
  </si>
  <si>
    <t>50000 LT</t>
  </si>
  <si>
    <t>Laser cutting machines with shuttle table, chiller and dust collector with utilities made in Amada Japan FOM 23015NT-LU 2.5 KV</t>
  </si>
  <si>
    <t xml:space="preserve">Turret punching press machine (58 stn) with utilities, Amada Make, Made in Japan Sr. no. 22550020, Model no. AE255NTPunching Capacity ( M.S - 0.8 mm to 3 mm, SS - 0.8 to 2mm, Aluminium 0.8 - to 5  mm) </t>
  </si>
  <si>
    <t>CNC press brake (Bending Machine) with utilities, capacities 80 Ton, made in Amada Japan Model No. RGM 28024 Sr. No. 80242066</t>
  </si>
  <si>
    <t>Vertical Milling centre with utilities, Model LV 55, Sr. No. 7400150</t>
  </si>
  <si>
    <t>Shearing Machine Sr. No. 110 138, Type HGN 31/8, Max cutting length 3050 mm, max back gauge limit 750 mm, cutting capacity (Ms 0.8 - 6 mm, SS 0.8 - 3 mm), (Aluminium 0.8 mm - 6 mm)</t>
  </si>
  <si>
    <t xml:space="preserve">Lathe Machine 4 ft. bed length </t>
  </si>
  <si>
    <t xml:space="preserve">Lathe Machine 10 ft. bed length </t>
  </si>
  <si>
    <t xml:space="preserve">Manual Horizontal Honing Machine Model M3 - 63 VS </t>
  </si>
  <si>
    <t xml:space="preserve">Bench Grinder </t>
  </si>
  <si>
    <t>Drill Machine</t>
  </si>
  <si>
    <t>Electric Hoist 2T</t>
  </si>
  <si>
    <t>Reciprocating Compressor ( Pressure 19.8kgf/cm)</t>
  </si>
  <si>
    <t xml:space="preserve">GX - 11F, Atlas copco screw air compressor </t>
  </si>
  <si>
    <t>Inverter Chiller, Model RKE 6500 A - VA - UP</t>
  </si>
  <si>
    <t xml:space="preserve">Gas Manifold </t>
  </si>
  <si>
    <t>TOTAL</t>
  </si>
  <si>
    <t>S.No.</t>
  </si>
  <si>
    <t>Description</t>
  </si>
  <si>
    <t xml:space="preserve">Gross Block </t>
  </si>
  <si>
    <t>Fair Market Value</t>
  </si>
  <si>
    <t>Plant &amp; Machinery</t>
  </si>
  <si>
    <t>Total</t>
  </si>
  <si>
    <t>Remarks:</t>
  </si>
  <si>
    <t>3. For Evaluating useful life for calculation of depriciation, chart of companies act 2013 is reffered.</t>
  </si>
  <si>
    <t>1. Asset items pertaining to M/s Classi Mech Equipments Pvt. Ltd., is only considered.</t>
  </si>
  <si>
    <t xml:space="preserve">2. The bank has provided us the OVR in which machine list is given for the purpose of valuation. This list has the capitalization of items based on the carpex incurred under various phases. Hence for the valuation purpose we have taken machine list having capex incurred. </t>
  </si>
  <si>
    <t>4. Replacement cost of all  machine is taken from market in which same type of machines are available for sale.</t>
  </si>
  <si>
    <r>
      <t>Gross Current Replacement/ Reproduction Cost</t>
    </r>
    <r>
      <rPr>
        <i/>
        <sz val="10"/>
        <color theme="1"/>
        <rFont val="Calibri"/>
        <family val="2"/>
        <scheme val="minor"/>
      </rPr>
      <t xml:space="preserve">
(as per Market comparable Machines)</t>
    </r>
  </si>
  <si>
    <t>6. Useful life of primary machine is taken as 15 years.For other auxillary machine life varies from 9-11 years.</t>
  </si>
  <si>
    <t>CNC Lathe Utilities Model LL20T L5, Sr. No. L2-00272</t>
  </si>
  <si>
    <t>ENCLOSURE-B: VALUATION OF PLANT AND MACHINERY  | M/S. CLASSI MECH EQUIPMENTS PVT. LTD. | VILLAGE - SATIVALI, TALUKA - VASAI, PALGHAR</t>
  </si>
  <si>
    <t>SUMMARY OF PLANT &amp; MACHINERY, M/S.CLASSI MECH EQUIPMENTS PVT. LTD., VILLAGE - SATIVALI, TALUKA - VASAI, DISTRICT - PALGHAR, MAHARASHTRA</t>
  </si>
  <si>
    <r>
      <t xml:space="preserve">Consumed Life </t>
    </r>
    <r>
      <rPr>
        <i/>
        <sz val="10"/>
        <color theme="1"/>
        <rFont val="Calibri"/>
        <family val="2"/>
        <scheme val="minor"/>
      </rPr>
      <t>(yrs)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</si>
</sst>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 [$₹-4009]\ * #,##0_ ;_ [$₹-4009]\ * \-#,##0_ ;_ [$₹-4009]\ * &quot;-&quot;_ ;_ @_ "/>
    <numFmt numFmtId="165" formatCode="_ [$₹-4009]\ * #,##0.00_ ;_ [$₹-4009]\ * \-#,##0.00_ ;_ [$₹-4009]\ * &quot;-&quot;??_ ;_ @_ "/>
    <numFmt numFmtId="166"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1"/>
      <name val="Calibri"/>
      <family val="2"/>
      <scheme val="minor"/>
    </font>
    <font>
      <i/>
      <sz val="11"/>
      <color theme="1"/>
      <name val="Calibri"/>
      <family val="2"/>
      <scheme val="minor"/>
    </font>
    <font>
      <sz val="10"/>
      <name val="Verdana"/>
      <family val="2"/>
    </font>
    <font>
      <b/>
      <sz val="11"/>
      <color theme="0"/>
      <name val="Calibri"/>
      <family val="2"/>
      <scheme val="minor"/>
    </font>
    <font>
      <b/>
      <sz val="12"/>
      <color theme="1"/>
      <name val="Calibri"/>
      <family val="2"/>
      <scheme val="minor"/>
    </font>
    <font>
      <i/>
      <sz val="10"/>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BAD2E2"/>
        <bgColor indexed="64"/>
      </patternFill>
    </fill>
    <fill>
      <patternFill patternType="solid">
        <fgColor theme="0"/>
        <bgColor indexed="64"/>
      </patternFill>
    </fill>
    <fill>
      <patternFill patternType="solid">
        <fgColor rgb="FF17185D"/>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44" fontId="2" fillId="3" borderId="1" xfId="1" applyFont="1" applyFill="1" applyBorder="1" applyAlignment="1">
      <alignment horizontal="center" vertical="center" wrapText="1"/>
    </xf>
    <xf numFmtId="44" fontId="2" fillId="3" borderId="6" xfId="1"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7" xfId="0" applyFont="1" applyFill="1" applyBorder="1" applyAlignment="1">
      <alignment horizontal="center" vertical="center"/>
    </xf>
    <xf numFmtId="9" fontId="5" fillId="4" borderId="1" xfId="0" applyNumberFormat="1" applyFont="1" applyFill="1" applyBorder="1" applyAlignment="1">
      <alignment horizontal="center" vertical="center"/>
    </xf>
    <xf numFmtId="0" fontId="7" fillId="4" borderId="7" xfId="0" applyFont="1" applyFill="1" applyBorder="1" applyAlignment="1">
      <alignment horizontal="center" vertical="center" wrapText="1"/>
    </xf>
    <xf numFmtId="0" fontId="0" fillId="0" borderId="0" xfId="0" applyFill="1"/>
    <xf numFmtId="0" fontId="5" fillId="0" borderId="1" xfId="0" applyNumberFormat="1" applyFont="1" applyFill="1" applyBorder="1" applyAlignment="1">
      <alignment horizontal="center" vertical="center" wrapText="1"/>
    </xf>
    <xf numFmtId="164" fontId="5" fillId="4" borderId="1" xfId="1" applyNumberFormat="1" applyFont="1" applyFill="1" applyBorder="1" applyAlignment="1">
      <alignment horizontal="center" vertical="center"/>
    </xf>
    <xf numFmtId="164" fontId="5" fillId="4" borderId="6" xfId="1"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164" fontId="5" fillId="0" borderId="1" xfId="1" applyNumberFormat="1" applyFont="1" applyFill="1" applyBorder="1" applyAlignment="1">
      <alignment horizontal="center" vertical="center"/>
    </xf>
    <xf numFmtId="164" fontId="5" fillId="0" borderId="6" xfId="1" applyNumberFormat="1" applyFont="1" applyFill="1" applyBorder="1" applyAlignment="1">
      <alignment horizontal="center" vertical="center"/>
    </xf>
    <xf numFmtId="164" fontId="0" fillId="0" borderId="0" xfId="0" applyNumberFormat="1"/>
    <xf numFmtId="165" fontId="0" fillId="0" borderId="0" xfId="0" applyNumberFormat="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1" xfId="0" applyBorder="1" applyAlignment="1">
      <alignment horizontal="center" vertical="center"/>
    </xf>
    <xf numFmtId="166" fontId="0" fillId="0" borderId="1" xfId="0" applyNumberFormat="1" applyFont="1" applyBorder="1" applyAlignment="1">
      <alignment horizontal="center" vertical="center"/>
    </xf>
    <xf numFmtId="0" fontId="2" fillId="0" borderId="1" xfId="0" applyFont="1" applyBorder="1" applyAlignment="1">
      <alignment vertical="center"/>
    </xf>
    <xf numFmtId="166" fontId="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left" vertical="center"/>
    </xf>
    <xf numFmtId="0" fontId="7" fillId="0" borderId="7" xfId="0" applyFont="1" applyFill="1" applyBorder="1" applyAlignment="1">
      <alignment horizontal="center" vertical="center" wrapText="1"/>
    </xf>
    <xf numFmtId="164" fontId="2" fillId="0" borderId="1" xfId="0" applyNumberFormat="1" applyFont="1" applyBorder="1"/>
    <xf numFmtId="164" fontId="4" fillId="4" borderId="6" xfId="1"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6" fillId="0" borderId="1" xfId="0" applyFont="1" applyBorder="1" applyAlignment="1">
      <alignment horizontal="left" vertical="top"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left"/>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itya\Mayur%20Ply\Deed%20Bifur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ur Ply Land"/>
      <sheetName val="P&amp;M Working"/>
      <sheetName val="Sheet1"/>
      <sheetName val="Building Sheet"/>
      <sheetName val="Summary"/>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Q18"/>
  <sheetViews>
    <sheetView workbookViewId="0">
      <selection activeCell="I14" sqref="I14"/>
    </sheetView>
  </sheetViews>
  <sheetFormatPr defaultRowHeight="15" x14ac:dyDescent="0.25"/>
  <cols>
    <col min="9" max="9" width="10" bestFit="1" customWidth="1"/>
  </cols>
  <sheetData>
    <row r="4" spans="9:13" x14ac:dyDescent="0.25">
      <c r="I4">
        <v>8000</v>
      </c>
    </row>
    <row r="6" spans="9:13" x14ac:dyDescent="0.25">
      <c r="K6">
        <f>9205*6000</f>
        <v>55230000</v>
      </c>
    </row>
    <row r="7" spans="9:13" x14ac:dyDescent="0.25">
      <c r="K7">
        <f>6500*1000</f>
        <v>6500000</v>
      </c>
    </row>
    <row r="8" spans="9:13" x14ac:dyDescent="0.25">
      <c r="K8">
        <f>K6-K7</f>
        <v>48730000</v>
      </c>
    </row>
    <row r="9" spans="9:13" x14ac:dyDescent="0.25">
      <c r="M9">
        <f>K8/9205.18</f>
        <v>5293.7585142278585</v>
      </c>
    </row>
    <row r="14" spans="9:13" x14ac:dyDescent="0.25">
      <c r="I14">
        <f>9753.7*1100</f>
        <v>10729070</v>
      </c>
    </row>
    <row r="18" spans="17:17" x14ac:dyDescent="0.25">
      <c r="Q18">
        <f>8000/10.764</f>
        <v>743.21813452248239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0"/>
  <sheetViews>
    <sheetView topLeftCell="A3" zoomScale="85" zoomScaleNormal="85" workbookViewId="0">
      <selection activeCell="C21" sqref="C21:L21"/>
    </sheetView>
  </sheetViews>
  <sheetFormatPr defaultRowHeight="15" x14ac:dyDescent="0.25"/>
  <cols>
    <col min="4" max="4" width="23.140625" hidden="1" customWidth="1"/>
    <col min="5" max="5" width="50.28515625" customWidth="1"/>
    <col min="6" max="6" width="10.7109375" hidden="1" customWidth="1"/>
    <col min="7" max="7" width="12.42578125" bestFit="1" customWidth="1"/>
    <col min="8" max="8" width="9" bestFit="1" customWidth="1"/>
    <col min="9" max="9" width="12.42578125" style="14" customWidth="1"/>
    <col min="10" max="10" width="12.7109375" customWidth="1"/>
    <col min="11" max="11" width="9.28515625" customWidth="1"/>
    <col min="12" max="12" width="9.7109375" customWidth="1"/>
    <col min="13" max="13" width="16" customWidth="1"/>
    <col min="14" max="14" width="16.7109375" customWidth="1"/>
    <col min="15" max="15" width="13.28515625" customWidth="1"/>
    <col min="16" max="16" width="12.42578125" customWidth="1"/>
    <col min="17" max="17" width="13.42578125" customWidth="1"/>
    <col min="18" max="18" width="11.5703125" customWidth="1"/>
    <col min="19" max="19" width="13" customWidth="1"/>
  </cols>
  <sheetData>
    <row r="2" spans="3:14" ht="15.75" thickBot="1" x14ac:dyDescent="0.3"/>
    <row r="3" spans="3:14" ht="15.75" customHeight="1" x14ac:dyDescent="0.25">
      <c r="C3" s="40" t="s">
        <v>52</v>
      </c>
      <c r="D3" s="41"/>
      <c r="E3" s="41"/>
      <c r="F3" s="41"/>
      <c r="G3" s="41"/>
      <c r="H3" s="41"/>
      <c r="I3" s="41"/>
      <c r="J3" s="41"/>
      <c r="K3" s="41"/>
      <c r="L3" s="41"/>
      <c r="M3" s="41"/>
      <c r="N3" s="42"/>
    </row>
    <row r="4" spans="3:14" ht="62.25" customHeight="1" x14ac:dyDescent="0.25">
      <c r="C4" s="1" t="s">
        <v>1</v>
      </c>
      <c r="D4" s="2" t="s">
        <v>2</v>
      </c>
      <c r="E4" s="2" t="s">
        <v>3</v>
      </c>
      <c r="F4" s="2" t="s">
        <v>4</v>
      </c>
      <c r="G4" s="2" t="s">
        <v>5</v>
      </c>
      <c r="H4" s="3" t="s">
        <v>0</v>
      </c>
      <c r="I4" s="2" t="s">
        <v>54</v>
      </c>
      <c r="J4" s="2" t="s">
        <v>6</v>
      </c>
      <c r="K4" s="2" t="s">
        <v>7</v>
      </c>
      <c r="L4" s="2" t="s">
        <v>8</v>
      </c>
      <c r="M4" s="4" t="s">
        <v>9</v>
      </c>
      <c r="N4" s="5" t="s">
        <v>10</v>
      </c>
    </row>
    <row r="5" spans="3:14" ht="45" x14ac:dyDescent="0.25">
      <c r="C5" s="6">
        <v>1</v>
      </c>
      <c r="D5" s="7" t="s">
        <v>11</v>
      </c>
      <c r="E5" s="7" t="s">
        <v>22</v>
      </c>
      <c r="F5" s="8" t="s">
        <v>12</v>
      </c>
      <c r="G5" s="10">
        <v>2010</v>
      </c>
      <c r="H5" s="9">
        <v>2022</v>
      </c>
      <c r="I5" s="15">
        <f>H5-G5</f>
        <v>12</v>
      </c>
      <c r="J5" s="10">
        <v>15</v>
      </c>
      <c r="K5" s="11">
        <v>1</v>
      </c>
      <c r="L5" s="12">
        <v>0.4</v>
      </c>
      <c r="M5" s="16">
        <v>11500000</v>
      </c>
      <c r="N5" s="17">
        <f>K5*L5*M5</f>
        <v>4600000</v>
      </c>
    </row>
    <row r="6" spans="3:14" ht="60" x14ac:dyDescent="0.25">
      <c r="C6" s="6">
        <v>2</v>
      </c>
      <c r="D6" s="7" t="s">
        <v>11</v>
      </c>
      <c r="E6" s="7" t="s">
        <v>23</v>
      </c>
      <c r="F6" s="8" t="s">
        <v>13</v>
      </c>
      <c r="G6" s="10">
        <v>2010</v>
      </c>
      <c r="H6" s="9">
        <v>2022</v>
      </c>
      <c r="I6" s="15">
        <f t="shared" ref="I6:I20" si="0">H6-G6</f>
        <v>12</v>
      </c>
      <c r="J6" s="10">
        <v>15</v>
      </c>
      <c r="K6" s="11">
        <v>1</v>
      </c>
      <c r="L6" s="12">
        <v>0.4</v>
      </c>
      <c r="M6" s="16">
        <v>5565000</v>
      </c>
      <c r="N6" s="17">
        <f t="shared" ref="N6:N20" si="1">K6*L6*M6</f>
        <v>2226000</v>
      </c>
    </row>
    <row r="7" spans="3:14" s="14" customFormat="1" ht="45" x14ac:dyDescent="0.25">
      <c r="C7" s="18">
        <v>3</v>
      </c>
      <c r="D7" s="19" t="s">
        <v>11</v>
      </c>
      <c r="E7" s="19" t="s">
        <v>24</v>
      </c>
      <c r="F7" s="20" t="s">
        <v>14</v>
      </c>
      <c r="G7" s="22">
        <v>2010</v>
      </c>
      <c r="H7" s="21">
        <v>2022</v>
      </c>
      <c r="I7" s="15">
        <f t="shared" si="0"/>
        <v>12</v>
      </c>
      <c r="J7" s="22">
        <v>15</v>
      </c>
      <c r="K7" s="23">
        <v>1</v>
      </c>
      <c r="L7" s="12">
        <v>0.4</v>
      </c>
      <c r="M7" s="24">
        <v>900000</v>
      </c>
      <c r="N7" s="25">
        <f t="shared" si="1"/>
        <v>360000</v>
      </c>
    </row>
    <row r="8" spans="3:14" ht="30" x14ac:dyDescent="0.25">
      <c r="C8" s="6">
        <v>4</v>
      </c>
      <c r="D8" s="7" t="s">
        <v>11</v>
      </c>
      <c r="E8" s="7" t="s">
        <v>25</v>
      </c>
      <c r="F8" s="8" t="s">
        <v>15</v>
      </c>
      <c r="G8" s="10">
        <v>2010</v>
      </c>
      <c r="H8" s="9">
        <v>2022</v>
      </c>
      <c r="I8" s="15">
        <f t="shared" si="0"/>
        <v>12</v>
      </c>
      <c r="J8" s="10">
        <v>15</v>
      </c>
      <c r="K8" s="13">
        <v>1</v>
      </c>
      <c r="L8" s="12">
        <v>0.2</v>
      </c>
      <c r="M8" s="16">
        <v>140000</v>
      </c>
      <c r="N8" s="17">
        <f t="shared" si="1"/>
        <v>28000</v>
      </c>
    </row>
    <row r="9" spans="3:14" x14ac:dyDescent="0.25">
      <c r="C9" s="6">
        <v>5</v>
      </c>
      <c r="D9" s="7" t="s">
        <v>16</v>
      </c>
      <c r="E9" s="7" t="s">
        <v>51</v>
      </c>
      <c r="F9" s="8" t="s">
        <v>13</v>
      </c>
      <c r="G9" s="10">
        <v>2010</v>
      </c>
      <c r="H9" s="9">
        <v>2022</v>
      </c>
      <c r="I9" s="15">
        <f t="shared" si="0"/>
        <v>12</v>
      </c>
      <c r="J9" s="10">
        <v>15</v>
      </c>
      <c r="K9" s="13">
        <v>1</v>
      </c>
      <c r="L9" s="12">
        <v>0.2</v>
      </c>
      <c r="M9" s="16">
        <v>800000</v>
      </c>
      <c r="N9" s="17">
        <f t="shared" si="1"/>
        <v>160000</v>
      </c>
    </row>
    <row r="10" spans="3:14" s="14" customFormat="1" ht="60" x14ac:dyDescent="0.25">
      <c r="C10" s="18">
        <v>6</v>
      </c>
      <c r="D10" s="19" t="s">
        <v>16</v>
      </c>
      <c r="E10" s="19" t="s">
        <v>26</v>
      </c>
      <c r="F10" s="20" t="s">
        <v>17</v>
      </c>
      <c r="G10" s="22">
        <v>2011</v>
      </c>
      <c r="H10" s="21">
        <v>2022</v>
      </c>
      <c r="I10" s="15">
        <f t="shared" si="0"/>
        <v>11</v>
      </c>
      <c r="J10" s="22">
        <v>15</v>
      </c>
      <c r="K10" s="37">
        <v>1</v>
      </c>
      <c r="L10" s="12">
        <v>0.3</v>
      </c>
      <c r="M10" s="24">
        <v>875000</v>
      </c>
      <c r="N10" s="25">
        <f t="shared" si="1"/>
        <v>262500</v>
      </c>
    </row>
    <row r="11" spans="3:14" x14ac:dyDescent="0.25">
      <c r="C11" s="6">
        <v>7</v>
      </c>
      <c r="D11" s="7" t="s">
        <v>18</v>
      </c>
      <c r="E11" s="7" t="s">
        <v>27</v>
      </c>
      <c r="F11" s="8" t="s">
        <v>19</v>
      </c>
      <c r="G11" s="10">
        <v>2010</v>
      </c>
      <c r="H11" s="9">
        <v>2022</v>
      </c>
      <c r="I11" s="15">
        <f t="shared" si="0"/>
        <v>12</v>
      </c>
      <c r="J11" s="10">
        <v>15</v>
      </c>
      <c r="K11" s="13">
        <v>4</v>
      </c>
      <c r="L11" s="12">
        <v>0.2</v>
      </c>
      <c r="M11" s="16">
        <v>110000</v>
      </c>
      <c r="N11" s="17">
        <f t="shared" si="1"/>
        <v>88000</v>
      </c>
    </row>
    <row r="12" spans="3:14" x14ac:dyDescent="0.25">
      <c r="C12" s="6">
        <v>8</v>
      </c>
      <c r="D12" s="7" t="s">
        <v>18</v>
      </c>
      <c r="E12" s="7" t="s">
        <v>28</v>
      </c>
      <c r="F12" s="8" t="s">
        <v>20</v>
      </c>
      <c r="G12" s="10">
        <v>2010</v>
      </c>
      <c r="H12" s="9">
        <v>2022</v>
      </c>
      <c r="I12" s="15">
        <f t="shared" si="0"/>
        <v>12</v>
      </c>
      <c r="J12" s="10">
        <v>15</v>
      </c>
      <c r="K12" s="13">
        <v>1</v>
      </c>
      <c r="L12" s="12">
        <v>0.2</v>
      </c>
      <c r="M12" s="16">
        <v>238000</v>
      </c>
      <c r="N12" s="17">
        <f t="shared" si="1"/>
        <v>47600</v>
      </c>
    </row>
    <row r="13" spans="3:14" x14ac:dyDescent="0.25">
      <c r="C13" s="6">
        <v>9</v>
      </c>
      <c r="D13" s="7" t="s">
        <v>18</v>
      </c>
      <c r="E13" s="7" t="s">
        <v>29</v>
      </c>
      <c r="F13" s="8" t="s">
        <v>21</v>
      </c>
      <c r="G13" s="10">
        <v>2010</v>
      </c>
      <c r="H13" s="9">
        <v>2022</v>
      </c>
      <c r="I13" s="15">
        <f t="shared" si="0"/>
        <v>12</v>
      </c>
      <c r="J13" s="10">
        <v>15</v>
      </c>
      <c r="K13" s="13">
        <v>1</v>
      </c>
      <c r="L13" s="12">
        <v>0.2</v>
      </c>
      <c r="M13" s="16">
        <v>450000</v>
      </c>
      <c r="N13" s="17">
        <f t="shared" si="1"/>
        <v>90000</v>
      </c>
    </row>
    <row r="14" spans="3:14" x14ac:dyDescent="0.25">
      <c r="C14" s="30">
        <v>10</v>
      </c>
      <c r="D14" s="30"/>
      <c r="E14" s="36" t="s">
        <v>30</v>
      </c>
      <c r="F14" s="30"/>
      <c r="G14" s="30">
        <v>2010</v>
      </c>
      <c r="H14" s="30">
        <v>2022</v>
      </c>
      <c r="I14" s="15">
        <f t="shared" si="0"/>
        <v>12</v>
      </c>
      <c r="J14" s="30">
        <v>15</v>
      </c>
      <c r="K14" s="30">
        <v>2</v>
      </c>
      <c r="L14" s="12">
        <v>0.1</v>
      </c>
      <c r="M14" s="16">
        <v>4452</v>
      </c>
      <c r="N14" s="17">
        <f t="shared" si="1"/>
        <v>890.40000000000009</v>
      </c>
    </row>
    <row r="15" spans="3:14" x14ac:dyDescent="0.25">
      <c r="C15" s="30">
        <v>11</v>
      </c>
      <c r="D15" s="30"/>
      <c r="E15" s="36" t="s">
        <v>31</v>
      </c>
      <c r="F15" s="30"/>
      <c r="G15" s="30">
        <v>2010</v>
      </c>
      <c r="H15" s="30">
        <v>2022</v>
      </c>
      <c r="I15" s="15">
        <f t="shared" si="0"/>
        <v>12</v>
      </c>
      <c r="J15" s="30">
        <v>15</v>
      </c>
      <c r="K15" s="30">
        <v>3</v>
      </c>
      <c r="L15" s="12">
        <v>0.1</v>
      </c>
      <c r="M15" s="16">
        <v>3290</v>
      </c>
      <c r="N15" s="17">
        <f t="shared" si="1"/>
        <v>987.00000000000011</v>
      </c>
    </row>
    <row r="16" spans="3:14" x14ac:dyDescent="0.25">
      <c r="C16" s="30">
        <v>12</v>
      </c>
      <c r="D16" s="30"/>
      <c r="E16" s="36" t="s">
        <v>32</v>
      </c>
      <c r="F16" s="30"/>
      <c r="G16" s="30">
        <v>2010</v>
      </c>
      <c r="H16" s="30">
        <v>2022</v>
      </c>
      <c r="I16" s="15">
        <f t="shared" si="0"/>
        <v>12</v>
      </c>
      <c r="J16" s="30">
        <v>15</v>
      </c>
      <c r="K16" s="30">
        <v>2</v>
      </c>
      <c r="L16" s="12">
        <v>0.1</v>
      </c>
      <c r="M16" s="16">
        <v>45000</v>
      </c>
      <c r="N16" s="17">
        <f t="shared" si="1"/>
        <v>9000</v>
      </c>
    </row>
    <row r="17" spans="3:14" x14ac:dyDescent="0.25">
      <c r="C17" s="30">
        <v>14</v>
      </c>
      <c r="D17" s="30"/>
      <c r="E17" s="36" t="s">
        <v>33</v>
      </c>
      <c r="F17" s="30"/>
      <c r="G17" s="30">
        <v>2010</v>
      </c>
      <c r="H17" s="30">
        <v>2022</v>
      </c>
      <c r="I17" s="15">
        <f t="shared" si="0"/>
        <v>12</v>
      </c>
      <c r="J17" s="30">
        <v>15</v>
      </c>
      <c r="K17" s="30">
        <v>1</v>
      </c>
      <c r="L17" s="12">
        <v>0.1</v>
      </c>
      <c r="M17" s="16">
        <v>48000</v>
      </c>
      <c r="N17" s="17">
        <f t="shared" si="1"/>
        <v>4800</v>
      </c>
    </row>
    <row r="18" spans="3:14" x14ac:dyDescent="0.25">
      <c r="C18" s="30">
        <v>15</v>
      </c>
      <c r="D18" s="30"/>
      <c r="E18" s="36" t="s">
        <v>34</v>
      </c>
      <c r="F18" s="30"/>
      <c r="G18" s="30">
        <v>2011</v>
      </c>
      <c r="H18" s="30">
        <v>2022</v>
      </c>
      <c r="I18" s="15">
        <f t="shared" si="0"/>
        <v>11</v>
      </c>
      <c r="J18" s="30">
        <v>15</v>
      </c>
      <c r="K18" s="30">
        <v>2</v>
      </c>
      <c r="L18" s="12">
        <v>0.1</v>
      </c>
      <c r="M18" s="16">
        <v>50000</v>
      </c>
      <c r="N18" s="17">
        <f t="shared" si="1"/>
        <v>10000</v>
      </c>
    </row>
    <row r="19" spans="3:14" x14ac:dyDescent="0.25">
      <c r="C19" s="30">
        <v>16</v>
      </c>
      <c r="D19" s="30"/>
      <c r="E19" s="36" t="s">
        <v>35</v>
      </c>
      <c r="F19" s="30"/>
      <c r="G19" s="30">
        <v>2010</v>
      </c>
      <c r="H19" s="30">
        <v>2022</v>
      </c>
      <c r="I19" s="15">
        <f t="shared" si="0"/>
        <v>12</v>
      </c>
      <c r="J19" s="30">
        <v>15</v>
      </c>
      <c r="K19" s="30">
        <v>1</v>
      </c>
      <c r="L19" s="12">
        <v>0.25</v>
      </c>
      <c r="M19" s="16">
        <v>300000</v>
      </c>
      <c r="N19" s="17">
        <f t="shared" si="1"/>
        <v>75000</v>
      </c>
    </row>
    <row r="20" spans="3:14" x14ac:dyDescent="0.25">
      <c r="C20" s="30">
        <v>17</v>
      </c>
      <c r="D20" s="30"/>
      <c r="E20" s="36" t="s">
        <v>36</v>
      </c>
      <c r="F20" s="30"/>
      <c r="G20" s="30">
        <v>2010</v>
      </c>
      <c r="H20" s="30">
        <v>2022</v>
      </c>
      <c r="I20" s="15">
        <f t="shared" si="0"/>
        <v>12</v>
      </c>
      <c r="J20" s="30">
        <v>15</v>
      </c>
      <c r="K20" s="30">
        <v>1</v>
      </c>
      <c r="L20" s="12">
        <v>0.1</v>
      </c>
      <c r="M20" s="16">
        <v>3550</v>
      </c>
      <c r="N20" s="17">
        <f t="shared" si="1"/>
        <v>355</v>
      </c>
    </row>
    <row r="21" spans="3:14" ht="15.75" x14ac:dyDescent="0.25">
      <c r="C21" s="43" t="s">
        <v>37</v>
      </c>
      <c r="D21" s="44"/>
      <c r="E21" s="44"/>
      <c r="F21" s="44"/>
      <c r="G21" s="44"/>
      <c r="H21" s="44"/>
      <c r="I21" s="44"/>
      <c r="J21" s="44"/>
      <c r="K21" s="44"/>
      <c r="L21" s="45"/>
      <c r="M21" s="38">
        <f>SUM(M5:M20)</f>
        <v>21032292</v>
      </c>
      <c r="N21" s="39">
        <f>SUM(N5:N20)</f>
        <v>7963132.4000000004</v>
      </c>
    </row>
    <row r="26" spans="3:14" x14ac:dyDescent="0.25">
      <c r="M26">
        <f>21000000*(1*10%)</f>
        <v>2100000</v>
      </c>
      <c r="N26">
        <f>M21*(1*10%)</f>
        <v>2103229.2000000002</v>
      </c>
    </row>
    <row r="29" spans="3:14" x14ac:dyDescent="0.25">
      <c r="N29" s="26">
        <f>N21+41423310+10729070</f>
        <v>60115512.399999999</v>
      </c>
    </row>
    <row r="30" spans="3:14" x14ac:dyDescent="0.25">
      <c r="K30" s="27">
        <f>M21*10%</f>
        <v>2103229.2000000002</v>
      </c>
    </row>
  </sheetData>
  <mergeCells count="2">
    <mergeCell ref="C3:N3"/>
    <mergeCell ref="C21:L2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Q13"/>
  <sheetViews>
    <sheetView tabSelected="1" workbookViewId="0">
      <selection activeCell="E4" sqref="E4:I13"/>
    </sheetView>
  </sheetViews>
  <sheetFormatPr defaultRowHeight="15" x14ac:dyDescent="0.25"/>
  <cols>
    <col min="5" max="5" width="5.7109375" bestFit="1" customWidth="1"/>
    <col min="6" max="6" width="13.28515625" customWidth="1"/>
    <col min="7" max="7" width="16.5703125" hidden="1" customWidth="1"/>
    <col min="8" max="8" width="28.85546875" customWidth="1"/>
    <col min="9" max="9" width="27.28515625" customWidth="1"/>
  </cols>
  <sheetData>
    <row r="4" spans="5:17" ht="38.25" customHeight="1" x14ac:dyDescent="0.25">
      <c r="E4" s="47" t="s">
        <v>53</v>
      </c>
      <c r="F4" s="48"/>
      <c r="G4" s="48"/>
      <c r="H4" s="48"/>
      <c r="I4" s="49"/>
    </row>
    <row r="5" spans="5:17" ht="55.5" x14ac:dyDescent="0.25">
      <c r="E5" s="28" t="s">
        <v>38</v>
      </c>
      <c r="F5" s="28" t="s">
        <v>39</v>
      </c>
      <c r="G5" s="28" t="s">
        <v>40</v>
      </c>
      <c r="H5" s="29" t="s">
        <v>49</v>
      </c>
      <c r="I5" s="29" t="s">
        <v>41</v>
      </c>
      <c r="O5">
        <f>200*9</f>
        <v>1800</v>
      </c>
    </row>
    <row r="6" spans="5:17" ht="30" x14ac:dyDescent="0.25">
      <c r="E6" s="30">
        <v>1</v>
      </c>
      <c r="F6" s="34" t="s">
        <v>42</v>
      </c>
      <c r="G6" s="31">
        <f>'[1]P&amp;M Working'!N30</f>
        <v>0</v>
      </c>
      <c r="H6" s="35">
        <f>'P &amp; M Working'!M21</f>
        <v>21032292</v>
      </c>
      <c r="I6" s="31">
        <f>'P &amp; M Working'!N21</f>
        <v>7963132.4000000004</v>
      </c>
      <c r="P6">
        <f>1800*5000</f>
        <v>9000000</v>
      </c>
    </row>
    <row r="7" spans="5:17" x14ac:dyDescent="0.25">
      <c r="E7" s="32"/>
      <c r="F7" s="50" t="s">
        <v>43</v>
      </c>
      <c r="G7" s="50"/>
      <c r="H7" s="50"/>
      <c r="I7" s="33">
        <f>SUM(I6:I6)</f>
        <v>7963132.4000000004</v>
      </c>
    </row>
    <row r="8" spans="5:17" ht="12.75" customHeight="1" x14ac:dyDescent="0.25">
      <c r="E8" s="51" t="s">
        <v>44</v>
      </c>
      <c r="F8" s="51"/>
      <c r="G8" s="51"/>
      <c r="H8" s="51"/>
      <c r="I8" s="51"/>
    </row>
    <row r="9" spans="5:17" ht="30" customHeight="1" x14ac:dyDescent="0.25">
      <c r="E9" s="46" t="s">
        <v>46</v>
      </c>
      <c r="F9" s="46"/>
      <c r="G9" s="46"/>
      <c r="H9" s="46"/>
      <c r="I9" s="46"/>
      <c r="O9">
        <f>4600*1800</f>
        <v>8280000</v>
      </c>
    </row>
    <row r="10" spans="5:17" ht="65.25" customHeight="1" x14ac:dyDescent="0.25">
      <c r="E10" s="52" t="s">
        <v>47</v>
      </c>
      <c r="F10" s="53"/>
      <c r="G10" s="53"/>
      <c r="H10" s="53"/>
      <c r="I10" s="54"/>
      <c r="O10">
        <f>5000*9</f>
        <v>45000</v>
      </c>
      <c r="Q10">
        <f>1800*4000</f>
        <v>7200000</v>
      </c>
    </row>
    <row r="11" spans="5:17" ht="33.75" customHeight="1" x14ac:dyDescent="0.25">
      <c r="E11" s="46" t="s">
        <v>45</v>
      </c>
      <c r="F11" s="46"/>
      <c r="G11" s="46"/>
      <c r="H11" s="46"/>
      <c r="I11" s="46"/>
      <c r="O11">
        <f>500000*(1-20%)</f>
        <v>400000</v>
      </c>
    </row>
    <row r="12" spans="5:17" ht="34.5" customHeight="1" x14ac:dyDescent="0.25">
      <c r="E12" s="46" t="s">
        <v>48</v>
      </c>
      <c r="F12" s="46"/>
      <c r="G12" s="46"/>
      <c r="H12" s="46"/>
      <c r="I12" s="46"/>
    </row>
    <row r="13" spans="5:17" ht="36.75" customHeight="1" x14ac:dyDescent="0.25">
      <c r="E13" s="46" t="s">
        <v>50</v>
      </c>
      <c r="F13" s="46"/>
      <c r="G13" s="46"/>
      <c r="H13" s="46"/>
      <c r="I13" s="46"/>
    </row>
  </sheetData>
  <mergeCells count="8">
    <mergeCell ref="E12:I12"/>
    <mergeCell ref="E13:I13"/>
    <mergeCell ref="E4:I4"/>
    <mergeCell ref="F7:H7"/>
    <mergeCell ref="E8:I8"/>
    <mergeCell ref="E9:I9"/>
    <mergeCell ref="E10:I10"/>
    <mergeCell ref="E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 &amp; M Working</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abhishek solanki</cp:lastModifiedBy>
  <dcterms:created xsi:type="dcterms:W3CDTF">2021-12-31T06:37:09Z</dcterms:created>
  <dcterms:modified xsi:type="dcterms:W3CDTF">2022-01-10T14:23:11Z</dcterms:modified>
</cp:coreProperties>
</file>