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CCA" sheetId="3" r:id="rId2"/>
    <sheet name="Historical Financials" sheetId="4" r:id="rId3"/>
    <sheet name="Sheet2" sheetId="2" r:id="rId4"/>
    <sheet name="NAV" sheetId="5" r:id="rId5"/>
  </sheets>
  <calcPr calcId="152511"/>
</workbook>
</file>

<file path=xl/calcChain.xml><?xml version="1.0" encoding="utf-8"?>
<calcChain xmlns="http://schemas.openxmlformats.org/spreadsheetml/2006/main">
  <c r="U18" i="5" l="1"/>
  <c r="T20" i="5"/>
  <c r="N18" i="5" s="1"/>
  <c r="T19" i="5"/>
  <c r="R22" i="5" l="1"/>
  <c r="Q30" i="5" l="1"/>
  <c r="X15" i="5"/>
  <c r="R20" i="5" l="1"/>
  <c r="E35" i="4" l="1"/>
  <c r="F35" i="4"/>
  <c r="G35" i="4"/>
  <c r="H35" i="4"/>
  <c r="I35" i="4"/>
  <c r="D35" i="4"/>
  <c r="E32" i="4"/>
  <c r="F32" i="4"/>
  <c r="G32" i="4"/>
  <c r="H32" i="4"/>
  <c r="I32" i="4"/>
  <c r="D32" i="4"/>
  <c r="T20" i="2"/>
  <c r="N36" i="5"/>
  <c r="N35" i="5"/>
  <c r="N32" i="5"/>
  <c r="N31" i="5"/>
  <c r="N30" i="5"/>
  <c r="N26" i="5"/>
  <c r="N25" i="5"/>
  <c r="N24" i="5"/>
  <c r="N17" i="5"/>
  <c r="N19" i="5"/>
  <c r="N13" i="5"/>
  <c r="N12" i="5"/>
  <c r="N10" i="5"/>
  <c r="L38" i="5"/>
  <c r="L37" i="5"/>
  <c r="L32" i="5"/>
  <c r="L26" i="5"/>
  <c r="L21" i="5"/>
  <c r="L20" i="5"/>
  <c r="L14" i="5"/>
  <c r="N20" i="5" l="1"/>
  <c r="N37" i="5"/>
  <c r="N38" i="5"/>
  <c r="N14" i="5"/>
  <c r="N21" i="5" l="1"/>
  <c r="N41" i="5" s="1"/>
  <c r="N42" i="5" l="1"/>
  <c r="N44" i="5" s="1"/>
  <c r="N46" i="5" s="1"/>
  <c r="B17" i="3"/>
  <c r="B18" i="3"/>
  <c r="B19" i="3" s="1"/>
  <c r="B20" i="3" s="1"/>
  <c r="B21" i="3" s="1"/>
  <c r="F33" i="3"/>
  <c r="Q15" i="3"/>
  <c r="R15" i="3"/>
  <c r="Q13" i="3"/>
  <c r="R13" i="3"/>
  <c r="H27" i="3"/>
  <c r="F26" i="3"/>
  <c r="K11" i="4"/>
  <c r="H17" i="4"/>
  <c r="H19" i="4" s="1"/>
  <c r="H22" i="4" s="1"/>
  <c r="H25" i="4" s="1"/>
  <c r="H30" i="4" s="1"/>
  <c r="G17" i="4"/>
  <c r="F17" i="4"/>
  <c r="E17" i="4"/>
  <c r="D17" i="4"/>
  <c r="H11" i="4"/>
  <c r="G11" i="4"/>
  <c r="G19" i="4" s="1"/>
  <c r="G22" i="4" s="1"/>
  <c r="G25" i="4" s="1"/>
  <c r="G30" i="4" s="1"/>
  <c r="F11" i="4"/>
  <c r="E11" i="4"/>
  <c r="D11" i="4"/>
  <c r="I30" i="4"/>
  <c r="I25" i="4"/>
  <c r="I22" i="4"/>
  <c r="I19" i="4"/>
  <c r="I17" i="4"/>
  <c r="I11" i="4"/>
  <c r="F6" i="4"/>
  <c r="G6" i="4"/>
  <c r="H6" i="4" s="1"/>
  <c r="I6" i="4" s="1"/>
  <c r="E6" i="4"/>
  <c r="Q21" i="3"/>
  <c r="Q13" i="2"/>
  <c r="Q12" i="2"/>
  <c r="R21" i="3"/>
  <c r="Q20" i="3"/>
  <c r="O13" i="2"/>
  <c r="O12" i="2"/>
  <c r="R20" i="3"/>
  <c r="Q19" i="3"/>
  <c r="M13" i="2"/>
  <c r="M12" i="2"/>
  <c r="R19" i="3"/>
  <c r="Q18" i="3"/>
  <c r="K13" i="2"/>
  <c r="K12" i="2"/>
  <c r="R18" i="3"/>
  <c r="Q17" i="3"/>
  <c r="I13" i="2"/>
  <c r="I12" i="2"/>
  <c r="R17" i="3"/>
  <c r="G13" i="2"/>
  <c r="G12" i="2"/>
  <c r="E13" i="2"/>
  <c r="E12" i="2"/>
  <c r="E10" i="2"/>
  <c r="E9" i="2"/>
  <c r="Q16" i="3"/>
  <c r="M10" i="2"/>
  <c r="M9" i="2"/>
  <c r="R16" i="3"/>
  <c r="T10" i="2"/>
  <c r="T9" i="2"/>
  <c r="P10" i="2"/>
  <c r="P9" i="2"/>
  <c r="Q14" i="3"/>
  <c r="R10" i="2"/>
  <c r="R9" i="2"/>
  <c r="R14" i="3"/>
  <c r="R7" i="2"/>
  <c r="R5" i="2"/>
  <c r="P7" i="2"/>
  <c r="P5" i="2"/>
  <c r="R12" i="3"/>
  <c r="Q12" i="3"/>
  <c r="P12" i="3"/>
  <c r="P24" i="3" s="1"/>
  <c r="O12" i="3"/>
  <c r="O23" i="3" s="1"/>
  <c r="F28" i="3" s="1"/>
  <c r="I7" i="2"/>
  <c r="I5" i="2"/>
  <c r="R11" i="3"/>
  <c r="Q11" i="3"/>
  <c r="N7" i="2"/>
  <c r="N5" i="2"/>
  <c r="R10" i="3"/>
  <c r="Q10" i="3"/>
  <c r="K7" i="2"/>
  <c r="K5" i="2"/>
  <c r="R9" i="3"/>
  <c r="Q9" i="3"/>
  <c r="G7" i="2"/>
  <c r="G5" i="2"/>
  <c r="G9" i="3"/>
  <c r="B10" i="3"/>
  <c r="B11" i="3" s="1"/>
  <c r="B12" i="3" s="1"/>
  <c r="Q24" i="3" l="1"/>
  <c r="B13" i="3"/>
  <c r="B14" i="3" s="1"/>
  <c r="F31" i="3"/>
  <c r="F38" i="3" s="1"/>
  <c r="R24" i="3"/>
  <c r="F40" i="3"/>
  <c r="R23" i="3"/>
  <c r="O24" i="3"/>
  <c r="F27" i="3" s="1"/>
  <c r="F39" i="3" s="1"/>
  <c r="Q23" i="3"/>
  <c r="P23" i="3"/>
  <c r="D19" i="4"/>
  <c r="D22" i="4" s="1"/>
  <c r="D25" i="4" s="1"/>
  <c r="D30" i="4" s="1"/>
  <c r="E19" i="4"/>
  <c r="E22" i="4" s="1"/>
  <c r="E25" i="4" s="1"/>
  <c r="E30" i="4" s="1"/>
  <c r="F19" i="4"/>
  <c r="F22" i="4" s="1"/>
  <c r="F25" i="4" s="1"/>
  <c r="F30" i="4" s="1"/>
  <c r="C4" i="2"/>
  <c r="B15" i="3" l="1"/>
  <c r="B16" i="3" s="1"/>
</calcChain>
</file>

<file path=xl/comments1.xml><?xml version="1.0" encoding="utf-8"?>
<comments xmlns="http://schemas.openxmlformats.org/spreadsheetml/2006/main">
  <authors>
    <author>Author</author>
  </authors>
  <commentList>
    <comment ref="G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Tripartiate agreement
</t>
        </r>
      </text>
    </comment>
  </commentList>
</comments>
</file>

<file path=xl/sharedStrings.xml><?xml version="1.0" encoding="utf-8"?>
<sst xmlns="http://schemas.openxmlformats.org/spreadsheetml/2006/main" count="217" uniqueCount="199">
  <si>
    <t>Concession Agreement date</t>
  </si>
  <si>
    <t>21.01.2011</t>
  </si>
  <si>
    <t xml:space="preserve">For construction, operation and maintainance of project highway </t>
  </si>
  <si>
    <t>NH-17 from KM 0.000 to KM 84.000</t>
  </si>
  <si>
    <t>Model</t>
  </si>
  <si>
    <t>DBFOT</t>
  </si>
  <si>
    <t>Total Project cost</t>
  </si>
  <si>
    <t>942.69 Crores</t>
  </si>
  <si>
    <t>Appointed date</t>
  </si>
  <si>
    <t>19.12.2011</t>
  </si>
  <si>
    <t>Project completion date</t>
  </si>
  <si>
    <t>910 days from the appointment date</t>
  </si>
  <si>
    <t>which is upto 16.06.2014</t>
  </si>
  <si>
    <t>Period</t>
  </si>
  <si>
    <t>21 years</t>
  </si>
  <si>
    <t xml:space="preserve">Concessionaire had agreed to pay premium also during the concession period </t>
  </si>
  <si>
    <t>33.90 crores</t>
  </si>
  <si>
    <t>from Cod with 5% increase in every subsequent year</t>
  </si>
  <si>
    <t>Concessionaire achieve physical progress as on 31.10.2016</t>
  </si>
  <si>
    <t>Concessionaire approached NHAI for availing OTIFS for completion of balance work</t>
  </si>
  <si>
    <t>22.01.2016</t>
  </si>
  <si>
    <t>OTFIS</t>
  </si>
  <si>
    <t>OTFIS by NHAI</t>
  </si>
  <si>
    <t>540 crores</t>
  </si>
  <si>
    <t>less any balance amount left from the undisbursed amount to be released by NHAI</t>
  </si>
  <si>
    <t>Only after construction of completion of 50% strectch of project highway</t>
  </si>
  <si>
    <t>Tripate agreement date</t>
  </si>
  <si>
    <t>09.11.2016</t>
  </si>
  <si>
    <t>Extending concession period</t>
  </si>
  <si>
    <t>Physical progress on 30.09.2021</t>
  </si>
  <si>
    <t>As per financial model submitted by concessionaire</t>
  </si>
  <si>
    <t>Estimated cost to complete balance work</t>
  </si>
  <si>
    <t>653.6 Crores</t>
  </si>
  <si>
    <t>540 Crores</t>
  </si>
  <si>
    <t>30.63 Ccores</t>
  </si>
  <si>
    <t>Lenders</t>
  </si>
  <si>
    <t>24.37 Crores</t>
  </si>
  <si>
    <t>Equity infusion from the promoter of Concessionaire</t>
  </si>
  <si>
    <t>1st OTFIS review meeting held on 02.06.2017</t>
  </si>
  <si>
    <t>Baalnce work executed by EPC agencies</t>
  </si>
  <si>
    <t>from 0 to 38 Km</t>
  </si>
  <si>
    <t>M/s JM Mhatre (Section 1)</t>
  </si>
  <si>
    <t>M/s Supreme Infrastructure India Limited (Section 2)</t>
  </si>
  <si>
    <t>Promoter</t>
  </si>
  <si>
    <t>From 38 to 84/600 Km</t>
  </si>
  <si>
    <t>Extension</t>
  </si>
  <si>
    <t>From 31.03.2018 to 31.03.2021</t>
  </si>
  <si>
    <t>Term Loan</t>
  </si>
  <si>
    <t>900 Crores</t>
  </si>
  <si>
    <t>Promoters raised</t>
  </si>
  <si>
    <t>306 Crores</t>
  </si>
  <si>
    <t>Source- petition</t>
  </si>
  <si>
    <t>commencing from the appointment date till 18.12.2023</t>
  </si>
  <si>
    <t>Schedule date of completion</t>
  </si>
  <si>
    <t>16.06.2014</t>
  </si>
  <si>
    <t xml:space="preserve">3rd extension </t>
  </si>
  <si>
    <t>Intention to issue termination notice</t>
  </si>
  <si>
    <t>16.10.2020</t>
  </si>
  <si>
    <t>Supreme Panvel Tollways Private Limited (SPV)</t>
  </si>
  <si>
    <t>Termination letter</t>
  </si>
  <si>
    <t>17.11.2021</t>
  </si>
  <si>
    <t xml:space="preserve">High Court Order dated </t>
  </si>
  <si>
    <t>23.11.2021</t>
  </si>
  <si>
    <t>Termination of concession Agreement Agreement dated 17.11.2021</t>
  </si>
  <si>
    <t>Tripartite Agreement dated 09.11.2016</t>
  </si>
  <si>
    <t>Cash transfer date</t>
  </si>
  <si>
    <t xml:space="preserve">7th day of each calander month </t>
  </si>
  <si>
    <t>on which the payment of premium by the concessionaire become due to the authority</t>
  </si>
  <si>
    <t>Interest rate is 2% above the Bank arte of RBI</t>
  </si>
  <si>
    <t>Compounded annually</t>
  </si>
  <si>
    <t>calculated on daily outstanding balalnce</t>
  </si>
  <si>
    <t>Concession Agreement</t>
  </si>
  <si>
    <t>Clause 25.4 Premium</t>
  </si>
  <si>
    <t>the Concessionaire shall pay the authority for each year of the concession period a premium of Rs. 33.95 Crores out of the gross revenues in form of additional concession fee</t>
  </si>
  <si>
    <t>Concession fee</t>
  </si>
  <si>
    <t>1 crore P.A.</t>
  </si>
  <si>
    <t>Shall be due and payable in monthly installments, within 7 days of the close of each month</t>
  </si>
  <si>
    <t xml:space="preserve">NHAI will not construct any expressway or other toll road </t>
  </si>
  <si>
    <t>before 12th anniversary of appointed date.</t>
  </si>
  <si>
    <t>Joint Bidding Agreement</t>
  </si>
  <si>
    <t>Shareholding among parties in SPV are as follows-</t>
  </si>
  <si>
    <t>Supreme Infrastructure India Ltd</t>
  </si>
  <si>
    <t>China state Construction Engineering Hong Kong</t>
  </si>
  <si>
    <t>mahavir Roads &amp; Infrastructure</t>
  </si>
  <si>
    <t>Authorized share capital</t>
  </si>
  <si>
    <t>500000 divided into 50000 equity shares of Rs. 10 each</t>
  </si>
  <si>
    <t>Authorized share capital increased to Rs 50,00,000 divided into 5,00,000 equity shares of Rs. 10 each</t>
  </si>
  <si>
    <t>Vide resolution passed at Extra ordinary general meeting held on 23.11.2010</t>
  </si>
  <si>
    <t>1095 days</t>
  </si>
  <si>
    <t>Comparable Company Analysis</t>
  </si>
  <si>
    <t xml:space="preserve">Market Data </t>
  </si>
  <si>
    <t>EV</t>
  </si>
  <si>
    <t xml:space="preserve">Sales </t>
  </si>
  <si>
    <t xml:space="preserve">EBITDA </t>
  </si>
  <si>
    <t>EBIT</t>
  </si>
  <si>
    <t>Financial Data</t>
  </si>
  <si>
    <t>EV/Sales</t>
  </si>
  <si>
    <t>EV/EBITDA</t>
  </si>
  <si>
    <t>EV/EBIT</t>
  </si>
  <si>
    <t>P/E</t>
  </si>
  <si>
    <t>Valuation</t>
  </si>
  <si>
    <t>Particular</t>
  </si>
  <si>
    <t>Company Name</t>
  </si>
  <si>
    <t>Average</t>
  </si>
  <si>
    <t>Median</t>
  </si>
  <si>
    <t xml:space="preserve"> IRB Infrastructure Developers Ltd.</t>
  </si>
  <si>
    <t xml:space="preserve">Dilip buildcon ltd </t>
  </si>
  <si>
    <t>JMC Projects (India) Ltd.</t>
  </si>
  <si>
    <t>Gayatri Projects Ltd.</t>
  </si>
  <si>
    <t>Hindustan Construction Company Ltd.</t>
  </si>
  <si>
    <t xml:space="preserve">SHRISTI INFRASTRUCTURE DEVELOPMENT CORPORATION LTD </t>
  </si>
  <si>
    <t>HOUSING DEVELOPMENT AND INFRASTRUCTURE LTD</t>
  </si>
  <si>
    <t>CITADEL REALTY &amp; DEVELOPERS LTD</t>
  </si>
  <si>
    <t>TIRUPATI SARJAN LTD</t>
  </si>
  <si>
    <t>HG Infra Engineering</t>
  </si>
  <si>
    <t>Welspun Enterprises</t>
  </si>
  <si>
    <t>Sadbhav Engineering</t>
  </si>
  <si>
    <t>PNC Infratech</t>
  </si>
  <si>
    <t>Price (Per Share)</t>
  </si>
  <si>
    <t>Market Cap (Crore)</t>
  </si>
  <si>
    <t>EBT</t>
  </si>
  <si>
    <t>Interest</t>
  </si>
  <si>
    <t>Depreciation &amp; Amortization</t>
  </si>
  <si>
    <t>IRB Infrastucture</t>
  </si>
  <si>
    <t>EBITDA</t>
  </si>
  <si>
    <t>Earnings Per Share</t>
  </si>
  <si>
    <t>Dilip Buildcon Ltd.</t>
  </si>
  <si>
    <t>JMC Projects ( JMC Projects (India) Ltd.</t>
  </si>
  <si>
    <r>
      <t>Gayatri Projec</t>
    </r>
    <r>
      <rPr>
        <b/>
        <sz val="8"/>
        <color rgb="FF333333"/>
        <rFont val="Arial"/>
        <family val="2"/>
      </rPr>
      <t> </t>
    </r>
    <r>
      <rPr>
        <b/>
        <sz val="11"/>
        <color rgb="FF333333"/>
        <rFont val="Arial"/>
        <family val="2"/>
      </rPr>
      <t>Gayatri Projects Ltd.</t>
    </r>
  </si>
  <si>
    <t>Hindustan Cons Hindustan Construction Company Ltd</t>
  </si>
  <si>
    <t>Shristi Infrastructure Development Corporation Ltd.</t>
  </si>
  <si>
    <t>Historical Profit &amp; Loss Account</t>
  </si>
  <si>
    <t>Income</t>
  </si>
  <si>
    <t>Revenue from operation</t>
  </si>
  <si>
    <t>Other Income</t>
  </si>
  <si>
    <t>Total Income</t>
  </si>
  <si>
    <t>Expenses</t>
  </si>
  <si>
    <t>Construction Cost</t>
  </si>
  <si>
    <t>Employee benefit expense</t>
  </si>
  <si>
    <t>other expenses</t>
  </si>
  <si>
    <t>Total Expenses</t>
  </si>
  <si>
    <t>Depreciation and Amortization</t>
  </si>
  <si>
    <t>Profit before tax</t>
  </si>
  <si>
    <t>Tax Expenses</t>
  </si>
  <si>
    <t>Current Income tax</t>
  </si>
  <si>
    <t>Deferred Income tax/ credit)</t>
  </si>
  <si>
    <t>Profit for the year</t>
  </si>
  <si>
    <t>Particular (INR Lakhs)</t>
  </si>
  <si>
    <t>Mean</t>
  </si>
  <si>
    <t xml:space="preserve">Optimistic Case </t>
  </si>
  <si>
    <t>Base Case</t>
  </si>
  <si>
    <t>Pessimistic Case</t>
  </si>
  <si>
    <t>Enterprise Value</t>
  </si>
  <si>
    <t>Sales of Supreme Panvel</t>
  </si>
  <si>
    <t>In Crore</t>
  </si>
  <si>
    <t>NET ASSET VALUE (NAV)</t>
  </si>
  <si>
    <t>Factor</t>
  </si>
  <si>
    <t xml:space="preserve">Value as on  31st March 2021 </t>
  </si>
  <si>
    <t>Assets:</t>
  </si>
  <si>
    <t>Non-Current Assets</t>
  </si>
  <si>
    <t>Total Current Assets</t>
  </si>
  <si>
    <t>Current Liabilities</t>
  </si>
  <si>
    <t>Total Current Liabilities</t>
  </si>
  <si>
    <t>Particular (Values in INR Lakhs)</t>
  </si>
  <si>
    <t>Property, Plant &amp; Equipment</t>
  </si>
  <si>
    <t>Investment Property</t>
  </si>
  <si>
    <t>Intangible Assets under Development</t>
  </si>
  <si>
    <t>Other non-current assets</t>
  </si>
  <si>
    <t>Total Non-Current Assets</t>
  </si>
  <si>
    <t>Current Assets</t>
  </si>
  <si>
    <t>Financial Assets</t>
  </si>
  <si>
    <t>Cash &amp; Cash Equivalents</t>
  </si>
  <si>
    <t>Other Financial Assets</t>
  </si>
  <si>
    <t>Other Current Assets</t>
  </si>
  <si>
    <t>Equity &amp; Liabilities</t>
  </si>
  <si>
    <t>Shareholder's Equity</t>
  </si>
  <si>
    <t>Equity share capital</t>
  </si>
  <si>
    <t>Other Equity</t>
  </si>
  <si>
    <t>Total Equity</t>
  </si>
  <si>
    <t>Liabilities</t>
  </si>
  <si>
    <t>Non- Current Liabilities</t>
  </si>
  <si>
    <t>Financial Liabilities</t>
  </si>
  <si>
    <t>Borrowings</t>
  </si>
  <si>
    <t>Other financial liabilities</t>
  </si>
  <si>
    <t>Total Non- Current Liabilities</t>
  </si>
  <si>
    <t>Other current liabilities</t>
  </si>
  <si>
    <t>Total Equity &amp; Liabilities</t>
  </si>
  <si>
    <t>Total Assets</t>
  </si>
  <si>
    <t>Net Assets Value (NAV)</t>
  </si>
  <si>
    <t>=</t>
  </si>
  <si>
    <t>(Total Assets-Total Liabilities)</t>
  </si>
  <si>
    <t>Crore</t>
  </si>
  <si>
    <t>As per managements estimates provided in the audited financial as on 31st march 2021</t>
  </si>
  <si>
    <t>Fair Market Value as on 20/03/2022</t>
  </si>
  <si>
    <t>Lakhs</t>
  </si>
  <si>
    <t>EBITDA Margin %</t>
  </si>
  <si>
    <t>Net profit margin %</t>
  </si>
  <si>
    <t>Total Operational  Liabilities including contingent liabilities</t>
  </si>
  <si>
    <t>U45400HR2010PTC043915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</si>
</sst>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0\ &quot;xx&quot;"/>
    <numFmt numFmtId="165" formatCode="&quot;FY&quot;\ 0"/>
    <numFmt numFmtId="166" formatCode="_ * #,##0_ ;_ * \-#,##0_ ;_ * &quot;-&quot;??_ ;_ @_ "/>
    <numFmt numFmtId="167" formatCode="_(* #,##0_);_(* \(#,##0\);_(* &quot;-&quot;??_);_(@_)"/>
    <numFmt numFmtId="171" formatCode="_ * #,##0.00000_ ;_ * \-#,##0.00000_ ;_ * &quot;-&quot;??_ ;_ @_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rgb="FF333333"/>
      <name val="Arial"/>
      <family val="2"/>
    </font>
    <font>
      <b/>
      <sz val="8"/>
      <color rgb="FF333333"/>
      <name val="Arial"/>
      <family val="2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0" fontId="0" fillId="0" borderId="0" xfId="0" applyNumberFormat="1" applyAlignment="1">
      <alignment horizontal="left" wrapText="1"/>
    </xf>
    <xf numFmtId="0" fontId="1" fillId="2" borderId="0" xfId="0" applyFont="1" applyFill="1" applyAlignment="1">
      <alignment wrapText="1"/>
    </xf>
    <xf numFmtId="9" fontId="0" fillId="0" borderId="0" xfId="0" applyNumberFormat="1" applyAlignment="1">
      <alignment wrapText="1"/>
    </xf>
    <xf numFmtId="0" fontId="1" fillId="0" borderId="0" xfId="0" applyFont="1" applyAlignment="1">
      <alignment vertical="center"/>
    </xf>
    <xf numFmtId="0" fontId="0" fillId="4" borderId="0" xfId="0" applyFill="1"/>
    <xf numFmtId="0" fontId="7" fillId="4" borderId="0" xfId="0" applyFont="1" applyFill="1" applyAlignment="1">
      <alignment vertical="center"/>
    </xf>
    <xf numFmtId="0" fontId="8" fillId="4" borderId="0" xfId="0" applyFont="1" applyFill="1"/>
    <xf numFmtId="0" fontId="0" fillId="5" borderId="0" xfId="0" applyFill="1"/>
    <xf numFmtId="0" fontId="6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5" fillId="5" borderId="0" xfId="0" applyFont="1" applyFill="1" applyAlignment="1">
      <alignment horizontal="center"/>
    </xf>
    <xf numFmtId="0" fontId="1" fillId="3" borderId="0" xfId="0" applyFont="1" applyFill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2" fontId="0" fillId="0" borderId="0" xfId="0" applyNumberFormat="1"/>
    <xf numFmtId="43" fontId="0" fillId="0" borderId="0" xfId="1" applyFont="1"/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10" fillId="0" borderId="0" xfId="0" applyFont="1"/>
    <xf numFmtId="43" fontId="0" fillId="0" borderId="0" xfId="0" applyNumberFormat="1"/>
    <xf numFmtId="164" fontId="1" fillId="3" borderId="0" xfId="0" applyNumberFormat="1" applyFont="1" applyFill="1"/>
    <xf numFmtId="0" fontId="12" fillId="4" borderId="0" xfId="0" applyFont="1" applyFill="1" applyAlignment="1">
      <alignment vertical="center"/>
    </xf>
    <xf numFmtId="0" fontId="13" fillId="0" borderId="0" xfId="0" applyFont="1"/>
    <xf numFmtId="0" fontId="14" fillId="5" borderId="0" xfId="0" applyFont="1" applyFill="1" applyAlignment="1">
      <alignment vertical="center"/>
    </xf>
    <xf numFmtId="2" fontId="1" fillId="0" borderId="0" xfId="0" applyNumberFormat="1" applyFont="1"/>
    <xf numFmtId="43" fontId="1" fillId="0" borderId="0" xfId="0" applyNumberFormat="1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5" fillId="5" borderId="1" xfId="0" applyFont="1" applyFill="1" applyBorder="1"/>
    <xf numFmtId="0" fontId="0" fillId="0" borderId="1" xfId="0" applyBorder="1"/>
    <xf numFmtId="0" fontId="0" fillId="5" borderId="1" xfId="0" applyFill="1" applyBorder="1"/>
    <xf numFmtId="0" fontId="5" fillId="5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Border="1"/>
    <xf numFmtId="43" fontId="1" fillId="0" borderId="1" xfId="0" applyNumberFormat="1" applyFont="1" applyBorder="1"/>
    <xf numFmtId="9" fontId="0" fillId="0" borderId="0" xfId="0" applyNumberFormat="1"/>
    <xf numFmtId="0" fontId="1" fillId="0" borderId="0" xfId="0" applyFont="1" applyAlignment="1">
      <alignment horizontal="left" indent="1"/>
    </xf>
    <xf numFmtId="2" fontId="1" fillId="0" borderId="0" xfId="0" applyNumberFormat="1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2"/>
    </xf>
    <xf numFmtId="0" fontId="1" fillId="0" borderId="0" xfId="0" applyFont="1" applyFill="1" applyBorder="1" applyAlignment="1">
      <alignment horizontal="left" indent="2"/>
    </xf>
    <xf numFmtId="0" fontId="0" fillId="0" borderId="0" xfId="0" applyFill="1" applyBorder="1"/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165" fontId="5" fillId="5" borderId="1" xfId="0" applyNumberFormat="1" applyFont="1" applyFill="1" applyBorder="1" applyAlignment="1">
      <alignment horizontal="center"/>
    </xf>
    <xf numFmtId="43" fontId="0" fillId="0" borderId="1" xfId="1" applyNumberFormat="1" applyFont="1" applyBorder="1"/>
    <xf numFmtId="43" fontId="0" fillId="0" borderId="1" xfId="1" applyFont="1" applyBorder="1"/>
    <xf numFmtId="0" fontId="1" fillId="0" borderId="1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1" fillId="0" borderId="1" xfId="0" applyNumberFormat="1" applyFont="1" applyBorder="1"/>
    <xf numFmtId="10" fontId="0" fillId="0" borderId="0" xfId="0" applyNumberFormat="1"/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/>
    </xf>
    <xf numFmtId="0" fontId="15" fillId="0" borderId="1" xfId="0" applyFont="1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left" indent="1"/>
    </xf>
    <xf numFmtId="0" fontId="0" fillId="0" borderId="1" xfId="0" applyFont="1" applyFill="1" applyBorder="1" applyAlignment="1">
      <alignment horizontal="left" indent="2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 indent="2"/>
    </xf>
    <xf numFmtId="0" fontId="0" fillId="0" borderId="1" xfId="0" applyFill="1" applyBorder="1" applyAlignment="1">
      <alignment horizontal="left" vertical="center" indent="2"/>
    </xf>
    <xf numFmtId="2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0" fontId="1" fillId="0" borderId="1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indent="1"/>
    </xf>
    <xf numFmtId="9" fontId="0" fillId="0" borderId="1" xfId="0" applyNumberFormat="1" applyBorder="1"/>
    <xf numFmtId="0" fontId="0" fillId="0" borderId="1" xfId="0" applyFill="1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indent="1"/>
    </xf>
    <xf numFmtId="0" fontId="0" fillId="0" borderId="1" xfId="0" applyFont="1" applyFill="1" applyBorder="1"/>
    <xf numFmtId="2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2" fontId="1" fillId="0" borderId="1" xfId="0" applyNumberFormat="1" applyFont="1" applyBorder="1" applyAlignment="1">
      <alignment vertical="center"/>
    </xf>
    <xf numFmtId="0" fontId="5" fillId="5" borderId="1" xfId="0" quotePrefix="1" applyFont="1" applyFill="1" applyBorder="1" applyAlignment="1">
      <alignment vertical="center"/>
    </xf>
    <xf numFmtId="2" fontId="5" fillId="5" borderId="1" xfId="0" applyNumberFormat="1" applyFont="1" applyFill="1" applyBorder="1" applyAlignment="1">
      <alignment horizontal="center" vertical="center"/>
    </xf>
    <xf numFmtId="0" fontId="16" fillId="0" borderId="1" xfId="0" applyFont="1" applyBorder="1"/>
    <xf numFmtId="43" fontId="0" fillId="0" borderId="0" xfId="1" applyNumberFormat="1" applyFont="1"/>
    <xf numFmtId="0" fontId="1" fillId="0" borderId="0" xfId="0" applyFont="1" applyAlignment="1">
      <alignment horizontal="center" wrapText="1"/>
    </xf>
    <xf numFmtId="0" fontId="9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2" fillId="4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17" fillId="7" borderId="0" xfId="0" applyFont="1" applyFill="1"/>
    <xf numFmtId="167" fontId="17" fillId="7" borderId="0" xfId="1" applyNumberFormat="1" applyFont="1" applyFill="1" applyBorder="1"/>
    <xf numFmtId="166" fontId="17" fillId="7" borderId="0" xfId="0" applyNumberFormat="1" applyFont="1" applyFill="1"/>
    <xf numFmtId="166" fontId="17" fillId="7" borderId="0" xfId="1" applyNumberFormat="1" applyFont="1" applyFill="1"/>
    <xf numFmtId="43" fontId="17" fillId="7" borderId="0" xfId="0" applyNumberFormat="1" applyFont="1" applyFill="1"/>
    <xf numFmtId="171" fontId="17" fillId="7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bg1"/>
                </a:solidFill>
              </a:rPr>
              <a:t>EBITDA Margin %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Financials'!$B$32</c:f>
              <c:strCache>
                <c:ptCount val="1"/>
                <c:pt idx="0">
                  <c:v>EBITDA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Financials'!$D$6:$I$6</c:f>
              <c:numCache>
                <c:formatCode>"FY"\ 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'Historical Financials'!$D$32:$I$32</c:f>
              <c:numCache>
                <c:formatCode>0.00%</c:formatCode>
                <c:ptCount val="6"/>
                <c:pt idx="0">
                  <c:v>-4.9610971392639652E-4</c:v>
                </c:pt>
                <c:pt idx="1">
                  <c:v>-2.9058000474452972E-4</c:v>
                </c:pt>
                <c:pt idx="2">
                  <c:v>-1.6566926864058839E-4</c:v>
                </c:pt>
                <c:pt idx="3">
                  <c:v>-2.9566697973601718E-4</c:v>
                </c:pt>
                <c:pt idx="4">
                  <c:v>-3.2753529262910552E-3</c:v>
                </c:pt>
                <c:pt idx="5">
                  <c:v>-4.4536748217370104E-3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8549872"/>
        <c:axId val="458555856"/>
      </c:barChart>
      <c:catAx>
        <c:axId val="458549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For</a:t>
                </a:r>
                <a:r>
                  <a:rPr lang="en-IN" b="1" i="1" baseline="0"/>
                  <a:t> the Financial Year</a:t>
                </a:r>
                <a:endParaRPr lang="en-IN" b="1" i="1"/>
              </a:p>
            </c:rich>
          </c:tx>
          <c:layout>
            <c:manualLayout>
              <c:xMode val="edge"/>
              <c:yMode val="edge"/>
              <c:x val="0.50827963171270252"/>
              <c:y val="0.92191291508603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55856"/>
        <c:crosses val="autoZero"/>
        <c:auto val="1"/>
        <c:lblAlgn val="ctr"/>
        <c:lblOffset val="100"/>
        <c:noMultiLvlLbl val="0"/>
      </c:catAx>
      <c:valAx>
        <c:axId val="45855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EBITDA</a:t>
                </a:r>
                <a:r>
                  <a:rPr lang="en-IN" b="1" i="1" baseline="0"/>
                  <a:t> Margin %</a:t>
                </a:r>
                <a:endParaRPr lang="en-IN" b="1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4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bg1"/>
                </a:solidFill>
              </a:rPr>
              <a:t>Net profit margin %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Financials'!$B$35</c:f>
              <c:strCache>
                <c:ptCount val="1"/>
                <c:pt idx="0">
                  <c:v>Net profit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Financials'!$D$6:$I$6</c:f>
              <c:numCache>
                <c:formatCode>"FY"\ 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'Historical Financials'!$D$35:$I$35</c:f>
              <c:numCache>
                <c:formatCode>0.00%</c:formatCode>
                <c:ptCount val="6"/>
                <c:pt idx="0">
                  <c:v>-4.9610971392639652E-4</c:v>
                </c:pt>
                <c:pt idx="1">
                  <c:v>-2.9058000474452972E-4</c:v>
                </c:pt>
                <c:pt idx="2">
                  <c:v>-1.6566926864058839E-4</c:v>
                </c:pt>
                <c:pt idx="3">
                  <c:v>-2.9566697973601718E-4</c:v>
                </c:pt>
                <c:pt idx="4">
                  <c:v>-3.2753529262910552E-3</c:v>
                </c:pt>
                <c:pt idx="5">
                  <c:v>-4.4536748217370104E-3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8543888"/>
        <c:axId val="458548240"/>
      </c:barChart>
      <c:catAx>
        <c:axId val="45854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00" b="1" i="1" baseline="0">
                    <a:effectLst/>
                  </a:rPr>
                  <a:t>For the Financial Year</a:t>
                </a:r>
                <a:endParaRPr lang="en-IN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088110945591261"/>
              <c:y val="0.91393398219679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48240"/>
        <c:crosses val="autoZero"/>
        <c:auto val="1"/>
        <c:lblAlgn val="ctr"/>
        <c:lblOffset val="100"/>
        <c:noMultiLvlLbl val="0"/>
      </c:catAx>
      <c:valAx>
        <c:axId val="45854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Net</a:t>
                </a:r>
                <a:r>
                  <a:rPr lang="en-IN" b="1" i="1" baseline="0"/>
                  <a:t> Profit Margin %</a:t>
                </a:r>
                <a:endParaRPr lang="en-IN" b="1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4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36</xdr:row>
      <xdr:rowOff>104774</xdr:rowOff>
    </xdr:from>
    <xdr:to>
      <xdr:col>11</xdr:col>
      <xdr:colOff>447675</xdr:colOff>
      <xdr:row>53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552450</xdr:colOff>
      <xdr:row>36</xdr:row>
      <xdr:rowOff>123824</xdr:rowOff>
    </xdr:from>
    <xdr:to>
      <xdr:col>22</xdr:col>
      <xdr:colOff>95250</xdr:colOff>
      <xdr:row>53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B12" sqref="B12"/>
    </sheetView>
  </sheetViews>
  <sheetFormatPr defaultRowHeight="15" x14ac:dyDescent="0.25"/>
  <cols>
    <col min="1" max="1" width="60.140625" style="1" bestFit="1" customWidth="1"/>
    <col min="2" max="2" width="42.85546875" style="1" customWidth="1"/>
    <col min="3" max="3" width="34" style="1" customWidth="1"/>
    <col min="4" max="4" width="25.5703125" style="1" customWidth="1"/>
    <col min="5" max="5" width="24.85546875" style="1" customWidth="1"/>
    <col min="6" max="16384" width="9.140625" style="1"/>
  </cols>
  <sheetData>
    <row r="1" spans="1:4" x14ac:dyDescent="0.25">
      <c r="A1" s="2" t="s">
        <v>58</v>
      </c>
    </row>
    <row r="2" spans="1:4" x14ac:dyDescent="0.25">
      <c r="A2" s="99" t="s">
        <v>63</v>
      </c>
      <c r="B2" s="99"/>
      <c r="D2" s="1" t="s">
        <v>198</v>
      </c>
    </row>
    <row r="3" spans="1:4" x14ac:dyDescent="0.25">
      <c r="A3" s="1" t="s">
        <v>0</v>
      </c>
      <c r="B3" s="1" t="s">
        <v>1</v>
      </c>
    </row>
    <row r="4" spans="1:4" ht="45" x14ac:dyDescent="0.25">
      <c r="A4" s="1" t="s">
        <v>2</v>
      </c>
      <c r="B4" s="1" t="s">
        <v>3</v>
      </c>
    </row>
    <row r="5" spans="1:4" x14ac:dyDescent="0.25">
      <c r="A5" s="1" t="s">
        <v>4</v>
      </c>
      <c r="B5" s="2" t="s">
        <v>5</v>
      </c>
    </row>
    <row r="6" spans="1:4" x14ac:dyDescent="0.25">
      <c r="A6" s="1" t="s">
        <v>6</v>
      </c>
      <c r="B6" s="1" t="s">
        <v>7</v>
      </c>
    </row>
    <row r="7" spans="1:4" x14ac:dyDescent="0.25">
      <c r="A7" s="1" t="s">
        <v>8</v>
      </c>
      <c r="B7" s="1" t="s">
        <v>9</v>
      </c>
    </row>
    <row r="8" spans="1:4" ht="27.75" customHeight="1" x14ac:dyDescent="0.25">
      <c r="A8" s="1" t="s">
        <v>10</v>
      </c>
      <c r="B8" s="1" t="s">
        <v>11</v>
      </c>
    </row>
    <row r="9" spans="1:4" x14ac:dyDescent="0.25">
      <c r="B9" s="1" t="s">
        <v>12</v>
      </c>
    </row>
    <row r="10" spans="1:4" ht="30" x14ac:dyDescent="0.25">
      <c r="A10" s="1" t="s">
        <v>13</v>
      </c>
      <c r="B10" s="1" t="s">
        <v>14</v>
      </c>
      <c r="C10" s="1" t="s">
        <v>52</v>
      </c>
    </row>
    <row r="11" spans="1:4" x14ac:dyDescent="0.25">
      <c r="A11" s="1" t="s">
        <v>53</v>
      </c>
      <c r="B11" s="1" t="s">
        <v>54</v>
      </c>
    </row>
    <row r="12" spans="1:4" ht="30" x14ac:dyDescent="0.25">
      <c r="A12" s="1" t="s">
        <v>15</v>
      </c>
      <c r="B12" s="1" t="s">
        <v>16</v>
      </c>
      <c r="C12" s="1" t="s">
        <v>17</v>
      </c>
    </row>
    <row r="13" spans="1:4" x14ac:dyDescent="0.25">
      <c r="A13" s="1" t="s">
        <v>18</v>
      </c>
      <c r="B13" s="3">
        <v>0.3448</v>
      </c>
    </row>
    <row r="14" spans="1:4" ht="30" x14ac:dyDescent="0.25">
      <c r="A14" s="1" t="s">
        <v>19</v>
      </c>
      <c r="B14" s="1" t="s">
        <v>20</v>
      </c>
    </row>
    <row r="15" spans="1:4" ht="51" customHeight="1" x14ac:dyDescent="0.25">
      <c r="A15" s="1" t="s">
        <v>22</v>
      </c>
      <c r="B15" s="1" t="s">
        <v>23</v>
      </c>
      <c r="C15" s="1" t="s">
        <v>24</v>
      </c>
      <c r="D15" s="1" t="s">
        <v>25</v>
      </c>
    </row>
    <row r="16" spans="1:4" x14ac:dyDescent="0.25">
      <c r="A16" s="1" t="s">
        <v>26</v>
      </c>
      <c r="B16" s="1" t="s">
        <v>27</v>
      </c>
    </row>
    <row r="17" spans="1:8" x14ac:dyDescent="0.25">
      <c r="A17" s="1" t="s">
        <v>28</v>
      </c>
      <c r="B17" s="1" t="s">
        <v>88</v>
      </c>
    </row>
    <row r="18" spans="1:8" x14ac:dyDescent="0.25">
      <c r="A18" s="1" t="s">
        <v>29</v>
      </c>
      <c r="B18" s="3">
        <v>0.88080000000000003</v>
      </c>
    </row>
    <row r="19" spans="1:8" ht="105" x14ac:dyDescent="0.25">
      <c r="A19" s="1" t="s">
        <v>30</v>
      </c>
      <c r="B19" s="1" t="s">
        <v>31</v>
      </c>
      <c r="C19" s="2" t="s">
        <v>32</v>
      </c>
      <c r="D19" s="1" t="s">
        <v>33</v>
      </c>
      <c r="E19" s="1" t="s">
        <v>21</v>
      </c>
      <c r="F19" s="1" t="s">
        <v>68</v>
      </c>
      <c r="G19" s="1" t="s">
        <v>69</v>
      </c>
      <c r="H19" s="1" t="s">
        <v>70</v>
      </c>
    </row>
    <row r="20" spans="1:8" x14ac:dyDescent="0.25">
      <c r="D20" s="1" t="s">
        <v>34</v>
      </c>
      <c r="E20" s="1" t="s">
        <v>35</v>
      </c>
    </row>
    <row r="21" spans="1:8" ht="46.5" customHeight="1" x14ac:dyDescent="0.25">
      <c r="D21" s="1" t="s">
        <v>36</v>
      </c>
      <c r="E21" s="1" t="s">
        <v>37</v>
      </c>
    </row>
    <row r="22" spans="1:8" x14ac:dyDescent="0.25">
      <c r="A22" s="2" t="s">
        <v>38</v>
      </c>
      <c r="B22" s="2" t="s">
        <v>39</v>
      </c>
    </row>
    <row r="23" spans="1:8" x14ac:dyDescent="0.25">
      <c r="A23" s="1" t="s">
        <v>41</v>
      </c>
      <c r="B23" s="1" t="s">
        <v>40</v>
      </c>
    </row>
    <row r="24" spans="1:8" x14ac:dyDescent="0.25">
      <c r="A24" s="1" t="s">
        <v>42</v>
      </c>
      <c r="B24" s="1" t="s">
        <v>44</v>
      </c>
      <c r="C24" s="1" t="s">
        <v>43</v>
      </c>
    </row>
    <row r="25" spans="1:8" x14ac:dyDescent="0.25">
      <c r="A25" s="1" t="s">
        <v>45</v>
      </c>
      <c r="B25" s="1" t="s">
        <v>46</v>
      </c>
      <c r="C25" s="1" t="s">
        <v>55</v>
      </c>
    </row>
    <row r="26" spans="1:8" x14ac:dyDescent="0.25">
      <c r="A26" s="2" t="s">
        <v>56</v>
      </c>
      <c r="B26" s="2" t="s">
        <v>57</v>
      </c>
    </row>
    <row r="27" spans="1:8" x14ac:dyDescent="0.25">
      <c r="A27" s="2" t="s">
        <v>59</v>
      </c>
      <c r="B27" s="2" t="s">
        <v>60</v>
      </c>
    </row>
    <row r="28" spans="1:8" x14ac:dyDescent="0.25">
      <c r="A28" s="1" t="s">
        <v>61</v>
      </c>
      <c r="B28" s="1" t="s">
        <v>62</v>
      </c>
    </row>
    <row r="30" spans="1:8" x14ac:dyDescent="0.25">
      <c r="A30" s="1" t="s">
        <v>47</v>
      </c>
      <c r="B30" s="1" t="s">
        <v>48</v>
      </c>
      <c r="C30" s="1" t="s">
        <v>51</v>
      </c>
    </row>
    <row r="31" spans="1:8" x14ac:dyDescent="0.25">
      <c r="A31" s="1" t="s">
        <v>49</v>
      </c>
      <c r="B31" s="1" t="s">
        <v>50</v>
      </c>
    </row>
    <row r="34" spans="1:3" x14ac:dyDescent="0.25">
      <c r="A34" s="2" t="s">
        <v>64</v>
      </c>
    </row>
    <row r="35" spans="1:3" ht="45" x14ac:dyDescent="0.25">
      <c r="A35" s="1" t="s">
        <v>65</v>
      </c>
      <c r="B35" s="1" t="s">
        <v>66</v>
      </c>
      <c r="C35" s="1" t="s">
        <v>67</v>
      </c>
    </row>
    <row r="38" spans="1:3" x14ac:dyDescent="0.25">
      <c r="A38" s="4" t="s">
        <v>71</v>
      </c>
    </row>
    <row r="39" spans="1:3" ht="66.75" customHeight="1" x14ac:dyDescent="0.25">
      <c r="A39" s="1" t="s">
        <v>72</v>
      </c>
      <c r="B39" s="1" t="s">
        <v>73</v>
      </c>
      <c r="C39" s="1" t="s">
        <v>17</v>
      </c>
    </row>
    <row r="40" spans="1:3" ht="45" x14ac:dyDescent="0.25">
      <c r="A40" s="1" t="s">
        <v>74</v>
      </c>
      <c r="B40" s="1" t="s">
        <v>75</v>
      </c>
      <c r="C40" s="1" t="s">
        <v>76</v>
      </c>
    </row>
    <row r="41" spans="1:3" x14ac:dyDescent="0.25">
      <c r="A41" s="1" t="s">
        <v>77</v>
      </c>
      <c r="B41" s="1" t="s">
        <v>78</v>
      </c>
    </row>
    <row r="44" spans="1:3" x14ac:dyDescent="0.25">
      <c r="A44" s="2" t="s">
        <v>79</v>
      </c>
    </row>
    <row r="45" spans="1:3" x14ac:dyDescent="0.25">
      <c r="A45" s="1" t="s">
        <v>80</v>
      </c>
    </row>
    <row r="46" spans="1:3" x14ac:dyDescent="0.25">
      <c r="A46" s="1" t="s">
        <v>81</v>
      </c>
      <c r="B46" s="5">
        <v>0.64</v>
      </c>
    </row>
    <row r="47" spans="1:3" x14ac:dyDescent="0.25">
      <c r="A47" s="1" t="s">
        <v>82</v>
      </c>
      <c r="B47" s="5">
        <v>0.26</v>
      </c>
    </row>
    <row r="48" spans="1:3" x14ac:dyDescent="0.25">
      <c r="A48" s="1" t="s">
        <v>83</v>
      </c>
      <c r="B48" s="5">
        <v>0.1</v>
      </c>
    </row>
    <row r="50" spans="1:2" ht="30" x14ac:dyDescent="0.25">
      <c r="A50" s="1" t="s">
        <v>84</v>
      </c>
      <c r="B50" s="1" t="s">
        <v>85</v>
      </c>
    </row>
    <row r="51" spans="1:2" ht="30" x14ac:dyDescent="0.25">
      <c r="A51" s="1" t="s">
        <v>86</v>
      </c>
      <c r="B51" s="1" t="s">
        <v>87</v>
      </c>
    </row>
  </sheetData>
  <mergeCells count="1">
    <mergeCell ref="A2:B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0"/>
  <sheetViews>
    <sheetView showGridLines="0" workbookViewId="0">
      <selection activeCell="F13" sqref="F13"/>
    </sheetView>
  </sheetViews>
  <sheetFormatPr defaultRowHeight="15" x14ac:dyDescent="0.25"/>
  <cols>
    <col min="1" max="1" width="3.140625" customWidth="1"/>
    <col min="2" max="2" width="6.42578125" customWidth="1"/>
    <col min="3" max="3" width="33.28515625" customWidth="1"/>
    <col min="4" max="5" width="0.28515625" customWidth="1"/>
    <col min="6" max="6" width="15.85546875" bestFit="1" customWidth="1"/>
    <col min="7" max="7" width="18.140625" bestFit="1" customWidth="1"/>
    <col min="8" max="8" width="23.140625" bestFit="1" customWidth="1"/>
    <col min="9" max="9" width="4" customWidth="1"/>
    <col min="13" max="13" width="17.5703125" bestFit="1" customWidth="1"/>
    <col min="14" max="14" width="4" customWidth="1"/>
    <col min="15" max="15" width="10.85546875" customWidth="1"/>
    <col min="16" max="16" width="13.7109375" customWidth="1"/>
    <col min="17" max="17" width="12.42578125" customWidth="1"/>
    <col min="18" max="18" width="10.85546875" customWidth="1"/>
  </cols>
  <sheetData>
    <row r="2" spans="2:18" ht="18" customHeight="1" x14ac:dyDescent="0.25">
      <c r="B2" s="7"/>
      <c r="C2" s="8" t="s">
        <v>58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2:18" ht="11.25" customHeight="1" x14ac:dyDescent="0.25"/>
    <row r="4" spans="2:18" ht="17.25" customHeight="1" x14ac:dyDescent="0.25">
      <c r="B4" s="10"/>
      <c r="C4" s="13" t="s">
        <v>89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6" spans="2:18" x14ac:dyDescent="0.25">
      <c r="B6" s="10"/>
      <c r="C6" s="12" t="s">
        <v>101</v>
      </c>
      <c r="D6" s="11"/>
      <c r="E6" s="11"/>
      <c r="F6" s="100" t="s">
        <v>90</v>
      </c>
      <c r="G6" s="100"/>
      <c r="H6" s="100"/>
      <c r="I6" s="11"/>
      <c r="J6" s="100" t="s">
        <v>95</v>
      </c>
      <c r="K6" s="100"/>
      <c r="L6" s="100"/>
      <c r="M6" s="100"/>
      <c r="N6" s="11"/>
      <c r="O6" s="101" t="s">
        <v>100</v>
      </c>
      <c r="P6" s="101"/>
      <c r="Q6" s="101"/>
      <c r="R6" s="101"/>
    </row>
    <row r="7" spans="2:18" x14ac:dyDescent="0.25">
      <c r="B7" s="10"/>
      <c r="C7" s="12" t="s">
        <v>102</v>
      </c>
      <c r="D7" s="11"/>
      <c r="E7" s="11"/>
      <c r="F7" s="16" t="s">
        <v>118</v>
      </c>
      <c r="G7" s="16" t="s">
        <v>119</v>
      </c>
      <c r="H7" s="16" t="s">
        <v>91</v>
      </c>
      <c r="I7" s="11"/>
      <c r="J7" s="16" t="s">
        <v>92</v>
      </c>
      <c r="K7" s="16" t="s">
        <v>93</v>
      </c>
      <c r="L7" s="16" t="s">
        <v>94</v>
      </c>
      <c r="M7" s="16" t="s">
        <v>125</v>
      </c>
      <c r="N7" s="11"/>
      <c r="O7" s="16" t="s">
        <v>96</v>
      </c>
      <c r="P7" s="16" t="s">
        <v>97</v>
      </c>
      <c r="Q7" s="16" t="s">
        <v>98</v>
      </c>
      <c r="R7" s="16" t="s">
        <v>99</v>
      </c>
    </row>
    <row r="9" spans="2:18" x14ac:dyDescent="0.25">
      <c r="B9" s="20">
        <v>1</v>
      </c>
      <c r="C9" s="18" t="s">
        <v>105</v>
      </c>
      <c r="F9" s="23">
        <v>210.6</v>
      </c>
      <c r="G9" s="23">
        <f>127170000000/10^7</f>
        <v>12717</v>
      </c>
      <c r="H9" s="23">
        <v>11519.89</v>
      </c>
      <c r="J9" s="23">
        <v>2750.27</v>
      </c>
      <c r="K9" s="23">
        <v>694.58</v>
      </c>
      <c r="L9" s="23">
        <v>694.58</v>
      </c>
      <c r="M9" s="23">
        <v>5.36</v>
      </c>
      <c r="O9" s="24">
        <v>4.1900000000000004</v>
      </c>
      <c r="P9" s="24">
        <v>16.59</v>
      </c>
      <c r="Q9" s="24">
        <f t="shared" ref="Q9:Q21" si="0">H9/L9</f>
        <v>16.585404129113996</v>
      </c>
      <c r="R9" s="24">
        <f t="shared" ref="R9:R21" si="1">F9/M9</f>
        <v>39.291044776119399</v>
      </c>
    </row>
    <row r="10" spans="2:18" ht="17.25" customHeight="1" x14ac:dyDescent="0.25">
      <c r="B10" s="20">
        <f>B9+1</f>
        <v>2</v>
      </c>
      <c r="C10" s="18" t="s">
        <v>106</v>
      </c>
      <c r="F10" s="15">
        <v>257.55</v>
      </c>
      <c r="G10" s="23">
        <v>3612</v>
      </c>
      <c r="H10" s="19">
        <v>10385.280000000001</v>
      </c>
      <c r="J10" s="19">
        <v>9208.92</v>
      </c>
      <c r="K10" s="23">
        <v>1498.1</v>
      </c>
      <c r="L10" s="15">
        <v>1090.96</v>
      </c>
      <c r="M10" s="19">
        <v>23.35</v>
      </c>
      <c r="O10" s="24">
        <v>1.1299999999999999</v>
      </c>
      <c r="P10" s="24">
        <v>6.93</v>
      </c>
      <c r="Q10" s="24">
        <f t="shared" si="0"/>
        <v>9.5193957615311291</v>
      </c>
      <c r="R10" s="24">
        <f t="shared" si="1"/>
        <v>11.029978586723768</v>
      </c>
    </row>
    <row r="11" spans="2:18" ht="18" customHeight="1" x14ac:dyDescent="0.25">
      <c r="B11" s="20">
        <f t="shared" ref="B11:B15" si="2">B10+1</f>
        <v>3</v>
      </c>
      <c r="C11" s="6" t="s">
        <v>107</v>
      </c>
      <c r="F11" s="25">
        <v>86.1</v>
      </c>
      <c r="G11" s="25">
        <v>1406</v>
      </c>
      <c r="H11" s="15">
        <v>1655.54</v>
      </c>
      <c r="J11" s="15">
        <v>3688.78</v>
      </c>
      <c r="K11" s="25">
        <v>358.3</v>
      </c>
      <c r="L11" s="15">
        <v>215.92</v>
      </c>
      <c r="M11" s="15">
        <v>4.24</v>
      </c>
      <c r="O11" s="24">
        <v>0.45</v>
      </c>
      <c r="P11" s="24">
        <v>4.62</v>
      </c>
      <c r="Q11" s="24">
        <f t="shared" si="0"/>
        <v>7.667376806224528</v>
      </c>
      <c r="R11" s="24">
        <f t="shared" si="1"/>
        <v>20.306603773584904</v>
      </c>
    </row>
    <row r="12" spans="2:18" ht="20.25" customHeight="1" x14ac:dyDescent="0.25">
      <c r="B12" s="20">
        <f t="shared" si="2"/>
        <v>4</v>
      </c>
      <c r="C12" s="6" t="s">
        <v>108</v>
      </c>
      <c r="F12" s="19">
        <v>21.65</v>
      </c>
      <c r="G12" s="25">
        <v>405</v>
      </c>
      <c r="H12" s="15">
        <v>2095.81</v>
      </c>
      <c r="J12" s="15">
        <v>3900.52</v>
      </c>
      <c r="K12" s="15">
        <v>456.44</v>
      </c>
      <c r="L12" s="15">
        <v>371.94</v>
      </c>
      <c r="M12" s="15">
        <v>3.02</v>
      </c>
      <c r="O12" s="24">
        <f>H12/J12</f>
        <v>0.53731553741552407</v>
      </c>
      <c r="P12" s="24">
        <f>H12/K12</f>
        <v>4.5916440276925776</v>
      </c>
      <c r="Q12" s="24">
        <f t="shared" si="0"/>
        <v>5.6348066892509543</v>
      </c>
      <c r="R12" s="24">
        <f t="shared" si="1"/>
        <v>7.1688741721854301</v>
      </c>
    </row>
    <row r="13" spans="2:18" ht="30" x14ac:dyDescent="0.25">
      <c r="B13" s="20">
        <f t="shared" si="2"/>
        <v>5</v>
      </c>
      <c r="C13" s="2" t="s">
        <v>109</v>
      </c>
      <c r="F13" s="19">
        <v>14.45</v>
      </c>
      <c r="G13" s="23">
        <v>2186</v>
      </c>
      <c r="H13" s="19">
        <v>3422.38</v>
      </c>
      <c r="J13" s="19">
        <v>2589.7399999999998</v>
      </c>
      <c r="K13" s="19">
        <v>477.99</v>
      </c>
      <c r="L13" s="19">
        <v>386.93</v>
      </c>
      <c r="M13" s="19">
        <v>-4.03</v>
      </c>
      <c r="O13" s="24">
        <v>0.41</v>
      </c>
      <c r="P13" s="24">
        <v>7.16</v>
      </c>
      <c r="Q13" s="24">
        <f t="shared" si="0"/>
        <v>8.8449590365182331</v>
      </c>
      <c r="R13" s="24">
        <f t="shared" si="1"/>
        <v>-3.5856079404466499</v>
      </c>
    </row>
    <row r="14" spans="2:18" ht="30" x14ac:dyDescent="0.25">
      <c r="B14" s="20">
        <f>B13+1</f>
        <v>6</v>
      </c>
      <c r="C14" s="18" t="s">
        <v>110</v>
      </c>
      <c r="F14" s="19">
        <v>62.25</v>
      </c>
      <c r="G14" s="23">
        <v>124</v>
      </c>
      <c r="H14" s="19">
        <v>670.94</v>
      </c>
      <c r="J14" s="19">
        <v>61.29</v>
      </c>
      <c r="K14" s="19">
        <v>51.85</v>
      </c>
      <c r="L14" s="19">
        <v>51.72</v>
      </c>
      <c r="M14" s="19">
        <v>2.58</v>
      </c>
      <c r="O14" s="24">
        <v>4.1399999999999997</v>
      </c>
      <c r="P14" s="24">
        <v>12.94</v>
      </c>
      <c r="Q14" s="24">
        <f t="shared" si="0"/>
        <v>12.972544470224285</v>
      </c>
      <c r="R14" s="24">
        <f t="shared" si="1"/>
        <v>24.127906976744185</v>
      </c>
    </row>
    <row r="15" spans="2:18" ht="30" x14ac:dyDescent="0.25">
      <c r="B15" s="20">
        <f t="shared" si="2"/>
        <v>7</v>
      </c>
      <c r="C15" s="2" t="s">
        <v>111</v>
      </c>
      <c r="F15" s="19">
        <v>4.75</v>
      </c>
      <c r="G15" s="23">
        <v>234</v>
      </c>
      <c r="H15" s="19">
        <v>2540.63</v>
      </c>
      <c r="J15" s="19">
        <v>414.19</v>
      </c>
      <c r="K15" s="19">
        <v>-475.11500000000001</v>
      </c>
      <c r="L15" s="19">
        <v>-481.73</v>
      </c>
      <c r="M15" s="19">
        <v>-296.75</v>
      </c>
      <c r="O15" s="24">
        <v>6.13</v>
      </c>
      <c r="P15" s="24">
        <v>-5.37</v>
      </c>
      <c r="Q15" s="24">
        <f t="shared" si="0"/>
        <v>-5.2739708965603143</v>
      </c>
      <c r="R15" s="24">
        <f t="shared" si="1"/>
        <v>-1.6006739679865205E-2</v>
      </c>
    </row>
    <row r="16" spans="2:18" ht="19.5" customHeight="1" x14ac:dyDescent="0.25">
      <c r="B16" s="20">
        <f>B15+1</f>
        <v>8</v>
      </c>
      <c r="C16" s="18" t="s">
        <v>113</v>
      </c>
      <c r="F16" s="19">
        <v>8.06</v>
      </c>
      <c r="G16" s="23">
        <v>26</v>
      </c>
      <c r="H16" s="19">
        <v>71.81</v>
      </c>
      <c r="J16" s="23">
        <v>65</v>
      </c>
      <c r="K16" s="19">
        <v>11.12</v>
      </c>
      <c r="L16" s="19">
        <v>10.19</v>
      </c>
      <c r="M16" s="19">
        <v>0.34</v>
      </c>
      <c r="O16" s="24">
        <v>1.1000000000000001</v>
      </c>
      <c r="P16" s="24">
        <v>6.46</v>
      </c>
      <c r="Q16" s="24">
        <f t="shared" si="0"/>
        <v>7.0471050049067721</v>
      </c>
      <c r="R16" s="24">
        <f t="shared" si="1"/>
        <v>23.705882352941178</v>
      </c>
    </row>
    <row r="17" spans="2:18" ht="21" customHeight="1" x14ac:dyDescent="0.25">
      <c r="B17" s="20">
        <f t="shared" ref="B17:B21" si="3">B16+1</f>
        <v>9</v>
      </c>
      <c r="C17" s="18" t="s">
        <v>114</v>
      </c>
      <c r="F17" s="19">
        <v>561.70000000000005</v>
      </c>
      <c r="G17" s="23">
        <v>3463</v>
      </c>
      <c r="H17" s="19">
        <v>1906.8</v>
      </c>
      <c r="J17" s="19">
        <v>2527</v>
      </c>
      <c r="K17" s="19">
        <v>425.6</v>
      </c>
      <c r="L17" s="19">
        <v>341.2</v>
      </c>
      <c r="M17" s="19">
        <v>32.369999999999997</v>
      </c>
      <c r="O17" s="24">
        <v>0.75</v>
      </c>
      <c r="P17" s="24">
        <v>4.4800000000000004</v>
      </c>
      <c r="Q17" s="24">
        <f t="shared" si="0"/>
        <v>5.5885111371629543</v>
      </c>
      <c r="R17" s="24">
        <f t="shared" si="1"/>
        <v>17.352486870559162</v>
      </c>
    </row>
    <row r="18" spans="2:18" ht="20.25" customHeight="1" x14ac:dyDescent="0.25">
      <c r="B18" s="20">
        <f t="shared" si="3"/>
        <v>10</v>
      </c>
      <c r="C18" s="18" t="s">
        <v>115</v>
      </c>
      <c r="F18" s="19">
        <v>81.05</v>
      </c>
      <c r="G18" s="23">
        <v>1172</v>
      </c>
      <c r="H18" s="19">
        <v>2023.85</v>
      </c>
      <c r="J18" s="19">
        <v>1410.19</v>
      </c>
      <c r="K18" s="19">
        <v>197.83</v>
      </c>
      <c r="L18" s="19">
        <v>185.58</v>
      </c>
      <c r="M18" s="19">
        <v>7.22</v>
      </c>
      <c r="O18" s="24">
        <v>1.44</v>
      </c>
      <c r="P18" s="24">
        <v>10.23</v>
      </c>
      <c r="Q18" s="24">
        <f t="shared" si="0"/>
        <v>10.905539390020476</v>
      </c>
      <c r="R18" s="24">
        <f t="shared" si="1"/>
        <v>11.225761772853186</v>
      </c>
    </row>
    <row r="19" spans="2:18" ht="20.25" customHeight="1" x14ac:dyDescent="0.25">
      <c r="B19" s="20">
        <f t="shared" si="3"/>
        <v>11</v>
      </c>
      <c r="C19" s="18" t="s">
        <v>116</v>
      </c>
      <c r="F19" s="19">
        <v>30.7</v>
      </c>
      <c r="G19" s="23">
        <v>509</v>
      </c>
      <c r="H19" s="19">
        <v>6056.64</v>
      </c>
      <c r="J19" s="19">
        <v>1623.62</v>
      </c>
      <c r="K19" s="19">
        <v>415.98</v>
      </c>
      <c r="L19" s="19">
        <v>321.77</v>
      </c>
      <c r="M19" s="19">
        <v>7.79</v>
      </c>
      <c r="O19" s="24">
        <v>1.9</v>
      </c>
      <c r="P19" s="24">
        <v>14.56</v>
      </c>
      <c r="Q19" s="24">
        <f t="shared" si="0"/>
        <v>18.822885912297608</v>
      </c>
      <c r="R19" s="24">
        <f t="shared" si="1"/>
        <v>3.9409499358151474</v>
      </c>
    </row>
    <row r="20" spans="2:18" ht="20.25" customHeight="1" x14ac:dyDescent="0.25">
      <c r="B20" s="20">
        <f t="shared" si="3"/>
        <v>12</v>
      </c>
      <c r="C20" s="18" t="s">
        <v>117</v>
      </c>
      <c r="F20" s="19">
        <v>248.6</v>
      </c>
      <c r="G20" s="23">
        <v>6160</v>
      </c>
      <c r="H20" s="19">
        <v>6087.92</v>
      </c>
      <c r="J20" s="19">
        <v>4925.42</v>
      </c>
      <c r="K20" s="19">
        <v>747.9</v>
      </c>
      <c r="L20" s="19">
        <v>635.52</v>
      </c>
      <c r="M20" s="19">
        <v>14.11</v>
      </c>
      <c r="O20" s="24">
        <v>1.24</v>
      </c>
      <c r="P20" s="24">
        <v>8.14</v>
      </c>
      <c r="Q20" s="24">
        <f t="shared" si="0"/>
        <v>9.5794310171198394</v>
      </c>
      <c r="R20" s="24">
        <f t="shared" si="1"/>
        <v>17.618710134656272</v>
      </c>
    </row>
    <row r="21" spans="2:18" ht="18.75" customHeight="1" x14ac:dyDescent="0.25">
      <c r="B21" s="20">
        <f t="shared" si="3"/>
        <v>13</v>
      </c>
      <c r="C21" s="18" t="s">
        <v>112</v>
      </c>
      <c r="F21" s="19">
        <v>15.78</v>
      </c>
      <c r="G21" s="23">
        <v>12</v>
      </c>
      <c r="H21" s="19">
        <v>23.71</v>
      </c>
      <c r="J21" s="19">
        <v>2.25</v>
      </c>
      <c r="K21" s="19">
        <v>2.15</v>
      </c>
      <c r="L21" s="19">
        <v>2.15</v>
      </c>
      <c r="M21" s="19">
        <v>0.61</v>
      </c>
      <c r="O21" s="24">
        <v>10.55</v>
      </c>
      <c r="P21" s="24">
        <v>11.02</v>
      </c>
      <c r="Q21" s="24">
        <f t="shared" si="0"/>
        <v>11.027906976744188</v>
      </c>
      <c r="R21" s="24">
        <f t="shared" si="1"/>
        <v>25.868852459016392</v>
      </c>
    </row>
    <row r="22" spans="2:18" ht="12" customHeight="1" x14ac:dyDescent="0.25"/>
    <row r="23" spans="2:18" x14ac:dyDescent="0.25">
      <c r="C23" s="17" t="s">
        <v>103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8">
        <f>AVERAGE(O9:O21)</f>
        <v>2.6128704259550402</v>
      </c>
      <c r="P23" s="28">
        <f>AVERAGE(P9:P21)</f>
        <v>7.8732033867455833</v>
      </c>
      <c r="Q23" s="28">
        <f>AVERAGE(Q9:Q21)</f>
        <v>9.1478381103503583</v>
      </c>
      <c r="R23" s="28">
        <f>AVERAGE(R9:R21)</f>
        <v>15.233495163928653</v>
      </c>
    </row>
    <row r="24" spans="2:18" x14ac:dyDescent="0.25">
      <c r="C24" s="17" t="s">
        <v>104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8">
        <f>MEDIAN(O9:O21)</f>
        <v>1.24</v>
      </c>
      <c r="P24" s="28">
        <f>MEDIAN(P9:P21)</f>
        <v>7.16</v>
      </c>
      <c r="Q24" s="28">
        <f>MEDIAN(Q9:Q21)</f>
        <v>9.5193957615311291</v>
      </c>
      <c r="R24" s="28">
        <f>MEDIAN(R9:R21)</f>
        <v>17.352486870559162</v>
      </c>
    </row>
    <row r="26" spans="2:18" x14ac:dyDescent="0.25">
      <c r="F26" s="34" t="str">
        <f>O7</f>
        <v>EV/Sales</v>
      </c>
      <c r="H26" s="12" t="s">
        <v>153</v>
      </c>
    </row>
    <row r="27" spans="2:18" x14ac:dyDescent="0.25">
      <c r="C27" s="14" t="s">
        <v>104</v>
      </c>
      <c r="F27" s="24">
        <f>O24</f>
        <v>1.24</v>
      </c>
      <c r="H27" s="35">
        <f>'Historical Financials'!K11</f>
        <v>180.58501666666666</v>
      </c>
    </row>
    <row r="28" spans="2:18" x14ac:dyDescent="0.25">
      <c r="C28" s="14" t="s">
        <v>148</v>
      </c>
      <c r="F28" s="24">
        <f>O23</f>
        <v>2.6128704259550402</v>
      </c>
    </row>
    <row r="31" spans="2:18" x14ac:dyDescent="0.25">
      <c r="C31" s="14" t="s">
        <v>149</v>
      </c>
      <c r="F31" s="24">
        <f>F28</f>
        <v>2.6128704259550402</v>
      </c>
    </row>
    <row r="32" spans="2:18" x14ac:dyDescent="0.25">
      <c r="C32" s="14" t="s">
        <v>150</v>
      </c>
      <c r="F32" s="24">
        <v>1.5</v>
      </c>
    </row>
    <row r="33" spans="3:6" x14ac:dyDescent="0.25">
      <c r="C33" s="14" t="s">
        <v>151</v>
      </c>
      <c r="F33" s="24">
        <f>F27</f>
        <v>1.24</v>
      </c>
    </row>
    <row r="36" spans="3:6" x14ac:dyDescent="0.25">
      <c r="C36" s="36" t="s">
        <v>152</v>
      </c>
      <c r="D36" s="37"/>
      <c r="E36" s="38"/>
      <c r="F36" s="39" t="s">
        <v>154</v>
      </c>
    </row>
    <row r="37" spans="3:6" ht="14.25" customHeight="1" x14ac:dyDescent="0.25">
      <c r="C37" s="37"/>
      <c r="D37" s="37"/>
      <c r="E37" s="37"/>
      <c r="F37" s="37"/>
    </row>
    <row r="38" spans="3:6" x14ac:dyDescent="0.25">
      <c r="C38" s="41" t="s">
        <v>149</v>
      </c>
      <c r="D38" s="40"/>
      <c r="E38" s="40"/>
      <c r="F38" s="42">
        <f>F31*$H$27</f>
        <v>471.84524941893136</v>
      </c>
    </row>
    <row r="39" spans="3:6" x14ac:dyDescent="0.25">
      <c r="C39" s="41" t="s">
        <v>150</v>
      </c>
      <c r="D39" s="40"/>
      <c r="E39" s="40"/>
      <c r="F39" s="42">
        <f t="shared" ref="F39:F40" si="4">F32*$H$27</f>
        <v>270.87752499999999</v>
      </c>
    </row>
    <row r="40" spans="3:6" x14ac:dyDescent="0.25">
      <c r="C40" s="41" t="s">
        <v>151</v>
      </c>
      <c r="D40" s="40"/>
      <c r="E40" s="40"/>
      <c r="F40" s="42">
        <f t="shared" si="4"/>
        <v>223.92542066666667</v>
      </c>
    </row>
  </sheetData>
  <mergeCells count="3">
    <mergeCell ref="F6:H6"/>
    <mergeCell ref="J6:M6"/>
    <mergeCell ref="O6:R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showGridLines="0" topLeftCell="A13" workbookViewId="0">
      <selection activeCell="X47" sqref="X47"/>
    </sheetView>
  </sheetViews>
  <sheetFormatPr defaultRowHeight="15" x14ac:dyDescent="0.25"/>
  <cols>
    <col min="1" max="1" width="3.28515625" customWidth="1"/>
    <col min="2" max="2" width="39.140625" customWidth="1"/>
    <col min="3" max="3" width="3" hidden="1" customWidth="1"/>
    <col min="4" max="9" width="11.7109375" customWidth="1"/>
    <col min="11" max="11" width="10" bestFit="1" customWidth="1"/>
  </cols>
  <sheetData>
    <row r="2" spans="2:11" ht="17.25" customHeight="1" x14ac:dyDescent="0.25">
      <c r="B2" s="29" t="s">
        <v>58</v>
      </c>
      <c r="C2" s="8"/>
      <c r="D2" s="8"/>
      <c r="E2" s="8"/>
      <c r="F2" s="8"/>
      <c r="G2" s="8"/>
      <c r="H2" s="8"/>
      <c r="I2" s="8"/>
    </row>
    <row r="3" spans="2:11" ht="10.5" customHeight="1" x14ac:dyDescent="0.3">
      <c r="B3" s="30"/>
    </row>
    <row r="4" spans="2:11" ht="18.75" customHeight="1" x14ac:dyDescent="0.25">
      <c r="B4" s="31" t="s">
        <v>131</v>
      </c>
      <c r="C4" s="13"/>
      <c r="D4" s="13"/>
      <c r="E4" s="13"/>
      <c r="F4" s="13"/>
      <c r="G4" s="13"/>
      <c r="H4" s="13"/>
      <c r="I4" s="13"/>
    </row>
    <row r="5" spans="2:11" ht="9" customHeight="1" x14ac:dyDescent="0.25"/>
    <row r="6" spans="2:11" x14ac:dyDescent="0.25">
      <c r="B6" s="36" t="s">
        <v>147</v>
      </c>
      <c r="C6" s="36"/>
      <c r="D6" s="55">
        <v>2016</v>
      </c>
      <c r="E6" s="55">
        <f>D6+1</f>
        <v>2017</v>
      </c>
      <c r="F6" s="55">
        <f t="shared" ref="F6:I6" si="0">E6+1</f>
        <v>2018</v>
      </c>
      <c r="G6" s="55">
        <f t="shared" si="0"/>
        <v>2019</v>
      </c>
      <c r="H6" s="55">
        <f t="shared" si="0"/>
        <v>2020</v>
      </c>
      <c r="I6" s="55">
        <f t="shared" si="0"/>
        <v>2021</v>
      </c>
      <c r="K6" s="16" t="s">
        <v>103</v>
      </c>
    </row>
    <row r="7" spans="2:11" ht="8.25" customHeight="1" x14ac:dyDescent="0.25">
      <c r="B7" s="37"/>
      <c r="C7" s="37"/>
      <c r="D7" s="37"/>
      <c r="E7" s="37"/>
      <c r="F7" s="37"/>
      <c r="G7" s="37"/>
      <c r="H7" s="37"/>
      <c r="I7" s="37"/>
    </row>
    <row r="8" spans="2:11" x14ac:dyDescent="0.25">
      <c r="B8" s="41" t="s">
        <v>132</v>
      </c>
      <c r="C8" s="37"/>
      <c r="D8" s="37"/>
      <c r="E8" s="37"/>
      <c r="F8" s="37"/>
      <c r="G8" s="37"/>
      <c r="H8" s="37"/>
      <c r="I8" s="37"/>
    </row>
    <row r="9" spans="2:11" x14ac:dyDescent="0.25">
      <c r="B9" s="37" t="s">
        <v>133</v>
      </c>
      <c r="C9" s="37"/>
      <c r="D9" s="37">
        <v>12215.04</v>
      </c>
      <c r="E9" s="37">
        <v>22678.78</v>
      </c>
      <c r="F9" s="37">
        <v>24144.49</v>
      </c>
      <c r="G9" s="37">
        <v>19346.09</v>
      </c>
      <c r="H9" s="37">
        <v>17466.82</v>
      </c>
      <c r="I9" s="56">
        <v>12499.79</v>
      </c>
    </row>
    <row r="10" spans="2:11" x14ac:dyDescent="0.25">
      <c r="B10" s="37" t="s">
        <v>134</v>
      </c>
      <c r="C10" s="37"/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</row>
    <row r="11" spans="2:11" ht="23.25" customHeight="1" x14ac:dyDescent="0.25">
      <c r="B11" s="58" t="s">
        <v>135</v>
      </c>
      <c r="C11" s="58"/>
      <c r="D11" s="59">
        <f t="shared" ref="D11:H11" si="1">SUM(D9:D10)</f>
        <v>12215.04</v>
      </c>
      <c r="E11" s="59">
        <f t="shared" si="1"/>
        <v>22678.78</v>
      </c>
      <c r="F11" s="59">
        <f t="shared" si="1"/>
        <v>24144.49</v>
      </c>
      <c r="G11" s="59">
        <f t="shared" si="1"/>
        <v>19346.09</v>
      </c>
      <c r="H11" s="59">
        <f t="shared" si="1"/>
        <v>17466.82</v>
      </c>
      <c r="I11" s="59">
        <f>SUM(I9:I10)</f>
        <v>12499.79</v>
      </c>
      <c r="K11" s="33">
        <f>AVERAGE(D11:I11)*10^5/10^7</f>
        <v>180.58501666666666</v>
      </c>
    </row>
    <row r="12" spans="2:11" ht="9.75" customHeight="1" x14ac:dyDescent="0.25">
      <c r="B12" s="37"/>
      <c r="C12" s="37"/>
      <c r="D12" s="37"/>
      <c r="E12" s="37"/>
      <c r="F12" s="37"/>
      <c r="G12" s="37"/>
      <c r="H12" s="37"/>
      <c r="I12" s="37"/>
    </row>
    <row r="13" spans="2:11" x14ac:dyDescent="0.25">
      <c r="B13" s="41" t="s">
        <v>136</v>
      </c>
      <c r="C13" s="37"/>
      <c r="D13" s="37"/>
      <c r="E13" s="37"/>
      <c r="F13" s="37"/>
      <c r="G13" s="37"/>
      <c r="H13" s="37"/>
      <c r="I13" s="37"/>
    </row>
    <row r="14" spans="2:11" x14ac:dyDescent="0.25">
      <c r="B14" s="37" t="s">
        <v>137</v>
      </c>
      <c r="C14" s="37"/>
      <c r="D14" s="37">
        <v>12215.04</v>
      </c>
      <c r="E14" s="37">
        <v>22678.78</v>
      </c>
      <c r="F14" s="37">
        <v>24144.49</v>
      </c>
      <c r="G14" s="37">
        <v>19346.09</v>
      </c>
      <c r="H14" s="37">
        <v>17466.82</v>
      </c>
      <c r="I14" s="60">
        <v>12499.79</v>
      </c>
    </row>
    <row r="15" spans="2:11" x14ac:dyDescent="0.25">
      <c r="B15" s="40" t="s">
        <v>138</v>
      </c>
      <c r="C15" s="37"/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</row>
    <row r="16" spans="2:11" x14ac:dyDescent="0.25">
      <c r="B16" s="40" t="s">
        <v>139</v>
      </c>
      <c r="C16" s="37"/>
      <c r="D16" s="37">
        <v>6.06</v>
      </c>
      <c r="E16" s="37">
        <v>6.59</v>
      </c>
      <c r="F16" s="37">
        <v>4</v>
      </c>
      <c r="G16" s="37">
        <v>5.72</v>
      </c>
      <c r="H16" s="37">
        <v>57.21</v>
      </c>
      <c r="I16" s="60">
        <v>55.67</v>
      </c>
    </row>
    <row r="17" spans="2:9" x14ac:dyDescent="0.25">
      <c r="B17" s="41" t="s">
        <v>140</v>
      </c>
      <c r="C17" s="37"/>
      <c r="D17" s="61">
        <f t="shared" ref="D17:H17" si="2">SUM(D14:D16)</f>
        <v>12221.1</v>
      </c>
      <c r="E17" s="61">
        <f t="shared" si="2"/>
        <v>22685.37</v>
      </c>
      <c r="F17" s="61">
        <f t="shared" si="2"/>
        <v>24148.49</v>
      </c>
      <c r="G17" s="61">
        <f t="shared" si="2"/>
        <v>19351.810000000001</v>
      </c>
      <c r="H17" s="61">
        <f t="shared" si="2"/>
        <v>17524.03</v>
      </c>
      <c r="I17" s="61">
        <f>SUM(I14:I16)</f>
        <v>12555.460000000001</v>
      </c>
    </row>
    <row r="18" spans="2:9" x14ac:dyDescent="0.25">
      <c r="B18" s="37"/>
      <c r="C18" s="37"/>
      <c r="D18" s="37"/>
      <c r="E18" s="37"/>
      <c r="F18" s="37"/>
      <c r="G18" s="37"/>
      <c r="H18" s="37"/>
      <c r="I18" s="37"/>
    </row>
    <row r="19" spans="2:9" x14ac:dyDescent="0.25">
      <c r="B19" s="41" t="s">
        <v>124</v>
      </c>
      <c r="C19" s="37"/>
      <c r="D19" s="42">
        <f t="shared" ref="D19:H19" si="3">D11-D17</f>
        <v>-6.0599999999994907</v>
      </c>
      <c r="E19" s="42">
        <f t="shared" si="3"/>
        <v>-6.5900000000001455</v>
      </c>
      <c r="F19" s="42">
        <f t="shared" si="3"/>
        <v>-4</v>
      </c>
      <c r="G19" s="42">
        <f t="shared" si="3"/>
        <v>-5.7200000000011642</v>
      </c>
      <c r="H19" s="42">
        <f t="shared" si="3"/>
        <v>-57.209999999999127</v>
      </c>
      <c r="I19" s="42">
        <f>I11-I17</f>
        <v>-55.670000000000073</v>
      </c>
    </row>
    <row r="20" spans="2:9" x14ac:dyDescent="0.25">
      <c r="B20" s="37" t="s">
        <v>141</v>
      </c>
      <c r="C20" s="37"/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</row>
    <row r="21" spans="2:9" x14ac:dyDescent="0.25">
      <c r="B21" s="37"/>
      <c r="C21" s="37"/>
      <c r="D21" s="37"/>
      <c r="E21" s="37"/>
      <c r="F21" s="37"/>
      <c r="G21" s="37"/>
      <c r="H21" s="37"/>
      <c r="I21" s="37"/>
    </row>
    <row r="22" spans="2:9" x14ac:dyDescent="0.25">
      <c r="B22" s="41" t="s">
        <v>94</v>
      </c>
      <c r="C22" s="37"/>
      <c r="D22" s="42">
        <f t="shared" ref="D22:H22" si="4">D19-D20</f>
        <v>-6.0599999999994907</v>
      </c>
      <c r="E22" s="42">
        <f t="shared" si="4"/>
        <v>-6.5900000000001455</v>
      </c>
      <c r="F22" s="42">
        <f t="shared" si="4"/>
        <v>-4</v>
      </c>
      <c r="G22" s="42">
        <f t="shared" si="4"/>
        <v>-5.7200000000011642</v>
      </c>
      <c r="H22" s="42">
        <f t="shared" si="4"/>
        <v>-57.209999999999127</v>
      </c>
      <c r="I22" s="42">
        <f>I19-I20</f>
        <v>-55.670000000000073</v>
      </c>
    </row>
    <row r="23" spans="2:9" x14ac:dyDescent="0.25">
      <c r="B23" s="37" t="s">
        <v>121</v>
      </c>
      <c r="C23" s="37"/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</row>
    <row r="24" spans="2:9" x14ac:dyDescent="0.25">
      <c r="B24" s="37"/>
      <c r="C24" s="37"/>
      <c r="D24" s="37"/>
      <c r="E24" s="37"/>
      <c r="F24" s="37"/>
      <c r="G24" s="37"/>
      <c r="H24" s="37"/>
      <c r="I24" s="37"/>
    </row>
    <row r="25" spans="2:9" x14ac:dyDescent="0.25">
      <c r="B25" s="41" t="s">
        <v>142</v>
      </c>
      <c r="C25" s="37"/>
      <c r="D25" s="42">
        <f t="shared" ref="D25:H25" si="5">D22-D23</f>
        <v>-6.0599999999994907</v>
      </c>
      <c r="E25" s="42">
        <f t="shared" si="5"/>
        <v>-6.5900000000001455</v>
      </c>
      <c r="F25" s="42">
        <f t="shared" si="5"/>
        <v>-4</v>
      </c>
      <c r="G25" s="42">
        <f t="shared" si="5"/>
        <v>-5.7200000000011642</v>
      </c>
      <c r="H25" s="42">
        <f t="shared" si="5"/>
        <v>-57.209999999999127</v>
      </c>
      <c r="I25" s="42">
        <f>I22-I23</f>
        <v>-55.670000000000073</v>
      </c>
    </row>
    <row r="26" spans="2:9" ht="19.5" customHeight="1" x14ac:dyDescent="0.25">
      <c r="B26" s="41" t="s">
        <v>143</v>
      </c>
      <c r="C26" s="37"/>
      <c r="D26" s="37"/>
      <c r="E26" s="37"/>
      <c r="F26" s="37"/>
      <c r="G26" s="37"/>
      <c r="H26" s="37"/>
      <c r="I26" s="37"/>
    </row>
    <row r="27" spans="2:9" x14ac:dyDescent="0.25">
      <c r="B27" s="40" t="s">
        <v>144</v>
      </c>
      <c r="C27" s="37"/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</row>
    <row r="28" spans="2:9" x14ac:dyDescent="0.25">
      <c r="B28" s="40" t="s">
        <v>145</v>
      </c>
      <c r="C28" s="37"/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</row>
    <row r="29" spans="2:9" x14ac:dyDescent="0.25">
      <c r="B29" s="37"/>
      <c r="C29" s="37"/>
      <c r="D29" s="37"/>
      <c r="E29" s="37"/>
      <c r="F29" s="37"/>
      <c r="G29" s="37"/>
      <c r="H29" s="37"/>
      <c r="I29" s="37"/>
    </row>
    <row r="30" spans="2:9" x14ac:dyDescent="0.25">
      <c r="B30" s="41" t="s">
        <v>146</v>
      </c>
      <c r="C30" s="37"/>
      <c r="D30" s="42">
        <f t="shared" ref="D30:H30" si="6">D25-D27-D28</f>
        <v>-6.0599999999994907</v>
      </c>
      <c r="E30" s="42">
        <f t="shared" si="6"/>
        <v>-6.5900000000001455</v>
      </c>
      <c r="F30" s="42">
        <f t="shared" si="6"/>
        <v>-4</v>
      </c>
      <c r="G30" s="42">
        <f t="shared" si="6"/>
        <v>-5.7200000000011642</v>
      </c>
      <c r="H30" s="42">
        <f t="shared" si="6"/>
        <v>-57.209999999999127</v>
      </c>
      <c r="I30" s="42">
        <f>I25-I27-I28</f>
        <v>-55.670000000000073</v>
      </c>
    </row>
    <row r="32" spans="2:9" x14ac:dyDescent="0.25">
      <c r="B32" s="14" t="s">
        <v>195</v>
      </c>
      <c r="D32" s="62">
        <f>D19/D11</f>
        <v>-4.9610971392639652E-4</v>
      </c>
      <c r="E32" s="62">
        <f t="shared" ref="E32:I32" si="7">E19/E11</f>
        <v>-2.9058000474452972E-4</v>
      </c>
      <c r="F32" s="62">
        <f t="shared" si="7"/>
        <v>-1.6566926864058839E-4</v>
      </c>
      <c r="G32" s="62">
        <f t="shared" si="7"/>
        <v>-2.9566697973601718E-4</v>
      </c>
      <c r="H32" s="62">
        <f t="shared" si="7"/>
        <v>-3.2753529262910552E-3</v>
      </c>
      <c r="I32" s="62">
        <f t="shared" si="7"/>
        <v>-4.4536748217370104E-3</v>
      </c>
    </row>
    <row r="35" spans="2:9" x14ac:dyDescent="0.25">
      <c r="B35" s="14" t="s">
        <v>196</v>
      </c>
      <c r="D35" s="62">
        <f>D30/D11</f>
        <v>-4.9610971392639652E-4</v>
      </c>
      <c r="E35" s="62">
        <f t="shared" ref="E35:I35" si="8">E30/E11</f>
        <v>-2.9058000474452972E-4</v>
      </c>
      <c r="F35" s="62">
        <f t="shared" si="8"/>
        <v>-1.6566926864058839E-4</v>
      </c>
      <c r="G35" s="62">
        <f t="shared" si="8"/>
        <v>-2.9566697973601718E-4</v>
      </c>
      <c r="H35" s="62">
        <f t="shared" si="8"/>
        <v>-3.2753529262910552E-3</v>
      </c>
      <c r="I35" s="62">
        <f t="shared" si="8"/>
        <v>-4.4536748217370104E-3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20"/>
  <sheetViews>
    <sheetView topLeftCell="D2" workbookViewId="0">
      <selection activeCell="I17" sqref="I17"/>
    </sheetView>
  </sheetViews>
  <sheetFormatPr defaultRowHeight="15" x14ac:dyDescent="0.25"/>
  <cols>
    <col min="6" max="6" width="15.7109375" customWidth="1"/>
  </cols>
  <sheetData>
    <row r="2" spans="3:20" x14ac:dyDescent="0.25">
      <c r="C2">
        <v>18.2</v>
      </c>
      <c r="F2" s="14" t="s">
        <v>123</v>
      </c>
      <c r="I2" s="26" t="s">
        <v>128</v>
      </c>
      <c r="K2" s="14" t="s">
        <v>126</v>
      </c>
      <c r="M2" t="s">
        <v>113</v>
      </c>
      <c r="N2" t="s">
        <v>127</v>
      </c>
      <c r="P2" s="14" t="s">
        <v>129</v>
      </c>
      <c r="R2" s="14" t="s">
        <v>130</v>
      </c>
      <c r="T2" t="s">
        <v>111</v>
      </c>
    </row>
    <row r="3" spans="3:20" x14ac:dyDescent="0.25">
      <c r="C3">
        <v>76.430000000000007</v>
      </c>
      <c r="F3" t="s">
        <v>120</v>
      </c>
      <c r="G3">
        <v>202.65</v>
      </c>
      <c r="I3">
        <v>51.22</v>
      </c>
      <c r="K3">
        <v>504.77</v>
      </c>
      <c r="N3">
        <v>102.11</v>
      </c>
      <c r="P3">
        <v>-842.72</v>
      </c>
      <c r="R3">
        <v>-152.76</v>
      </c>
    </row>
    <row r="4" spans="3:20" x14ac:dyDescent="0.25">
      <c r="C4">
        <f>C2*C3</f>
        <v>1391.0260000000001</v>
      </c>
      <c r="F4" t="s">
        <v>121</v>
      </c>
      <c r="G4">
        <v>491.93</v>
      </c>
      <c r="I4">
        <v>320.72000000000003</v>
      </c>
      <c r="K4">
        <v>586.19000000000005</v>
      </c>
      <c r="N4">
        <v>113.81</v>
      </c>
      <c r="P4">
        <v>829.89</v>
      </c>
      <c r="R4">
        <v>61.59</v>
      </c>
    </row>
    <row r="5" spans="3:20" x14ac:dyDescent="0.25">
      <c r="F5" t="s">
        <v>94</v>
      </c>
      <c r="G5">
        <f>SUM(G3:G4)</f>
        <v>694.58</v>
      </c>
      <c r="I5">
        <f>SUM(I3:I4)</f>
        <v>371.94000000000005</v>
      </c>
      <c r="K5">
        <f>SUM(K3:K4)</f>
        <v>1090.96</v>
      </c>
      <c r="N5">
        <f>SUM(N3:N4)</f>
        <v>215.92000000000002</v>
      </c>
      <c r="P5">
        <f>SUM(P3:P4)</f>
        <v>-12.830000000000041</v>
      </c>
      <c r="R5">
        <f>SUM(R3:R4)</f>
        <v>-91.169999999999987</v>
      </c>
    </row>
    <row r="6" spans="3:20" ht="30" x14ac:dyDescent="0.25">
      <c r="F6" s="1" t="s">
        <v>122</v>
      </c>
      <c r="G6">
        <v>0</v>
      </c>
      <c r="I6">
        <v>84.5</v>
      </c>
      <c r="K6">
        <v>407.14</v>
      </c>
      <c r="N6">
        <v>142.38</v>
      </c>
      <c r="P6">
        <v>91.06</v>
      </c>
      <c r="R6">
        <v>0.13</v>
      </c>
    </row>
    <row r="7" spans="3:20" x14ac:dyDescent="0.25">
      <c r="F7" s="14" t="s">
        <v>124</v>
      </c>
      <c r="G7" s="14">
        <f>G5+G6</f>
        <v>694.58</v>
      </c>
      <c r="I7">
        <f>I6+I5</f>
        <v>456.44000000000005</v>
      </c>
      <c r="K7">
        <f>K5+K6</f>
        <v>1498.1</v>
      </c>
      <c r="N7" s="21">
        <f>N6+N5</f>
        <v>358.3</v>
      </c>
      <c r="P7">
        <f>P6+P5</f>
        <v>78.229999999999961</v>
      </c>
      <c r="R7">
        <f>R6+R5</f>
        <v>-91.039999999999992</v>
      </c>
    </row>
    <row r="9" spans="3:20" x14ac:dyDescent="0.25">
      <c r="E9">
        <f>36.51/19.03</f>
        <v>1.9185496584340513</v>
      </c>
      <c r="M9" s="22">
        <f>71.81/6.46</f>
        <v>11.116099071207431</v>
      </c>
      <c r="P9" s="21">
        <f>3422.38/7.16</f>
        <v>477.98603351955308</v>
      </c>
      <c r="R9" s="22">
        <f>670.94/12.94</f>
        <v>51.850077279752711</v>
      </c>
      <c r="T9">
        <f>2540.63/-5.37</f>
        <v>-473.11545623836128</v>
      </c>
    </row>
    <row r="10" spans="3:20" x14ac:dyDescent="0.25">
      <c r="E10">
        <f>E9-0.24</f>
        <v>1.6785496584340514</v>
      </c>
      <c r="M10" s="27">
        <f>M9-0.93</f>
        <v>10.186099071207432</v>
      </c>
      <c r="P10" s="21">
        <f>P9-P6</f>
        <v>386.92603351955307</v>
      </c>
      <c r="R10" s="22">
        <f>R9-R6</f>
        <v>51.720077279752708</v>
      </c>
      <c r="T10">
        <f>T9-8.61</f>
        <v>-481.72545623836129</v>
      </c>
    </row>
    <row r="12" spans="3:20" x14ac:dyDescent="0.25">
      <c r="E12" s="21">
        <f>482.6/-31.86</f>
        <v>-15.14752040175769</v>
      </c>
      <c r="G12">
        <f>416.67/33.2</f>
        <v>12.550301204819277</v>
      </c>
      <c r="I12">
        <f>1906.8/4.48</f>
        <v>425.62499999999994</v>
      </c>
      <c r="K12">
        <f>2023.85/10.23</f>
        <v>197.83479960899314</v>
      </c>
      <c r="M12">
        <f>6056.64/14.56</f>
        <v>415.97802197802201</v>
      </c>
      <c r="O12" s="22">
        <f>6087.92/8.14</f>
        <v>747.90171990171984</v>
      </c>
      <c r="Q12">
        <f>23.71/11.02</f>
        <v>2.1515426497277677</v>
      </c>
    </row>
    <row r="13" spans="3:20" x14ac:dyDescent="0.25">
      <c r="E13" s="21">
        <f>E12-0.04</f>
        <v>-15.187520401757689</v>
      </c>
      <c r="G13">
        <f>G12-0.04</f>
        <v>12.510301204819278</v>
      </c>
      <c r="I13">
        <f>I12-84.43</f>
        <v>341.19499999999994</v>
      </c>
      <c r="K13">
        <f>K12-12.25</f>
        <v>185.58479960899314</v>
      </c>
      <c r="M13">
        <f>M12-94.21</f>
        <v>321.76802197802203</v>
      </c>
      <c r="O13" s="22">
        <f>O12-112.38</f>
        <v>635.52171990171985</v>
      </c>
      <c r="Q13">
        <f>Q12-0</f>
        <v>2.1515426497277677</v>
      </c>
    </row>
    <row r="18" spans="20:20" x14ac:dyDescent="0.25">
      <c r="T18">
        <v>2943</v>
      </c>
    </row>
    <row r="20" spans="20:20" x14ac:dyDescent="0.25">
      <c r="T20">
        <f>T18*10^5/10^7</f>
        <v>29.43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76"/>
  <sheetViews>
    <sheetView showGridLines="0" topLeftCell="A34" workbookViewId="0">
      <selection activeCell="N42" sqref="N42"/>
    </sheetView>
  </sheetViews>
  <sheetFormatPr defaultRowHeight="15" x14ac:dyDescent="0.25"/>
  <cols>
    <col min="1" max="1" width="4.28515625" customWidth="1"/>
    <col min="2" max="2" width="19.28515625" customWidth="1"/>
    <col min="4" max="11" width="0" hidden="1" customWidth="1"/>
    <col min="12" max="12" width="27" bestFit="1" customWidth="1"/>
    <col min="13" max="13" width="3.85546875" customWidth="1"/>
    <col min="14" max="14" width="16.85546875" bestFit="1" customWidth="1"/>
    <col min="15" max="15" width="12.42578125" customWidth="1"/>
    <col min="17" max="17" width="10" bestFit="1" customWidth="1"/>
    <col min="18" max="18" width="11.5703125" bestFit="1" customWidth="1"/>
    <col min="20" max="20" width="16.28515625" customWidth="1"/>
    <col min="21" max="21" width="15.28515625" bestFit="1" customWidth="1"/>
    <col min="24" max="24" width="14.28515625" bestFit="1" customWidth="1"/>
  </cols>
  <sheetData>
    <row r="2" spans="2:24" ht="20.25" customHeight="1" x14ac:dyDescent="0.25">
      <c r="B2" s="102" t="s">
        <v>58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2:24" x14ac:dyDescent="0.25">
      <c r="Q3" s="21"/>
    </row>
    <row r="4" spans="2:24" x14ac:dyDescent="0.25">
      <c r="B4" s="103" t="s">
        <v>155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6" spans="2:24" ht="30" x14ac:dyDescent="0.25">
      <c r="B6" s="63" t="s">
        <v>163</v>
      </c>
      <c r="C6" s="36"/>
      <c r="D6" s="36"/>
      <c r="E6" s="36"/>
      <c r="F6" s="36"/>
      <c r="G6" s="36"/>
      <c r="H6" s="36"/>
      <c r="I6" s="36"/>
      <c r="J6" s="36"/>
      <c r="K6" s="36"/>
      <c r="L6" s="63" t="s">
        <v>157</v>
      </c>
      <c r="M6" s="38"/>
      <c r="N6" s="64" t="s">
        <v>193</v>
      </c>
      <c r="O6" s="65" t="s">
        <v>156</v>
      </c>
    </row>
    <row r="7" spans="2:24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24" ht="17.25" x14ac:dyDescent="0.3">
      <c r="B8" s="66" t="s">
        <v>158</v>
      </c>
      <c r="C8" s="67"/>
      <c r="D8" s="67"/>
      <c r="E8" s="67"/>
      <c r="F8" s="67"/>
      <c r="G8" s="37"/>
      <c r="H8" s="37"/>
      <c r="I8" s="37"/>
      <c r="J8" s="37"/>
      <c r="K8" s="37"/>
      <c r="L8" s="37"/>
      <c r="M8" s="37"/>
      <c r="N8" s="37"/>
      <c r="O8" s="37"/>
    </row>
    <row r="9" spans="2:24" ht="16.5" customHeight="1" x14ac:dyDescent="0.25">
      <c r="B9" s="68" t="s">
        <v>159</v>
      </c>
      <c r="C9" s="67"/>
      <c r="D9" s="67"/>
      <c r="E9" s="67"/>
      <c r="F9" s="67"/>
      <c r="G9" s="37"/>
      <c r="H9" s="37"/>
      <c r="I9" s="37"/>
      <c r="J9" s="37"/>
      <c r="K9" s="37"/>
      <c r="L9" s="37"/>
      <c r="M9" s="37"/>
      <c r="N9" s="37"/>
      <c r="O9" s="37"/>
    </row>
    <row r="10" spans="2:24" ht="17.25" customHeight="1" x14ac:dyDescent="0.25">
      <c r="B10" s="69" t="s">
        <v>164</v>
      </c>
      <c r="C10" s="67"/>
      <c r="D10" s="67"/>
      <c r="E10" s="67"/>
      <c r="F10" s="67"/>
      <c r="G10" s="37"/>
      <c r="H10" s="37"/>
      <c r="I10" s="37"/>
      <c r="J10" s="37"/>
      <c r="K10" s="37"/>
      <c r="L10" s="70">
        <v>0.05</v>
      </c>
      <c r="M10" s="37"/>
      <c r="N10" s="71">
        <f>L10*O10</f>
        <v>0</v>
      </c>
      <c r="O10" s="72">
        <v>0</v>
      </c>
    </row>
    <row r="11" spans="2:24" ht="19.5" customHeight="1" x14ac:dyDescent="0.25">
      <c r="B11" s="73" t="s">
        <v>165</v>
      </c>
      <c r="C11" s="67"/>
      <c r="D11" s="67"/>
      <c r="E11" s="67"/>
      <c r="F11" s="67"/>
      <c r="G11" s="37"/>
      <c r="H11" s="37"/>
      <c r="I11" s="37"/>
      <c r="J11" s="37"/>
      <c r="K11" s="37"/>
      <c r="L11" s="71">
        <v>11.5</v>
      </c>
      <c r="M11" s="37"/>
      <c r="N11" s="71">
        <v>12</v>
      </c>
      <c r="O11" s="37"/>
      <c r="Q11" t="s">
        <v>192</v>
      </c>
    </row>
    <row r="12" spans="2:24" ht="21" customHeight="1" x14ac:dyDescent="0.25">
      <c r="B12" s="74" t="s">
        <v>166</v>
      </c>
      <c r="C12" s="67"/>
      <c r="D12" s="67"/>
      <c r="E12" s="67"/>
      <c r="F12" s="67"/>
      <c r="G12" s="37"/>
      <c r="H12" s="37"/>
      <c r="I12" s="37"/>
      <c r="J12" s="37"/>
      <c r="K12" s="37"/>
      <c r="L12" s="75">
        <v>232996.34</v>
      </c>
      <c r="M12" s="37"/>
      <c r="N12" s="75">
        <f>L12*O12</f>
        <v>0</v>
      </c>
      <c r="O12" s="76">
        <v>0</v>
      </c>
      <c r="P12" s="43"/>
    </row>
    <row r="13" spans="2:24" ht="17.25" customHeight="1" x14ac:dyDescent="0.25">
      <c r="B13" s="77" t="s">
        <v>167</v>
      </c>
      <c r="C13" s="78"/>
      <c r="D13" s="78"/>
      <c r="E13" s="78"/>
      <c r="F13" s="78"/>
      <c r="G13" s="79"/>
      <c r="H13" s="79"/>
      <c r="I13" s="79"/>
      <c r="J13" s="79"/>
      <c r="K13" s="79"/>
      <c r="L13" s="75">
        <v>3887.21</v>
      </c>
      <c r="M13" s="79"/>
      <c r="N13" s="75">
        <f>L13*O13</f>
        <v>1943.605</v>
      </c>
      <c r="O13" s="76">
        <v>0.5</v>
      </c>
      <c r="P13" s="43"/>
    </row>
    <row r="14" spans="2:24" ht="21" customHeight="1" x14ac:dyDescent="0.25">
      <c r="B14" s="80" t="s">
        <v>168</v>
      </c>
      <c r="C14" s="81"/>
      <c r="D14" s="81"/>
      <c r="E14" s="81"/>
      <c r="F14" s="67"/>
      <c r="G14" s="37"/>
      <c r="H14" s="37"/>
      <c r="I14" s="37"/>
      <c r="J14" s="37"/>
      <c r="K14" s="37"/>
      <c r="L14" s="82">
        <f>SUM(L10:L13)</f>
        <v>236895.09999999998</v>
      </c>
      <c r="M14" s="82"/>
      <c r="N14" s="82">
        <f t="shared" ref="N14" si="0">SUM(N10:N13)</f>
        <v>1955.605</v>
      </c>
      <c r="O14" s="37"/>
    </row>
    <row r="15" spans="2:24" ht="19.5" customHeight="1" x14ac:dyDescent="0.25">
      <c r="B15" s="83" t="s">
        <v>169</v>
      </c>
      <c r="C15" s="67"/>
      <c r="D15" s="67"/>
      <c r="E15" s="67"/>
      <c r="F15" s="67"/>
      <c r="G15" s="37"/>
      <c r="H15" s="37"/>
      <c r="I15" s="37"/>
      <c r="J15" s="37"/>
      <c r="K15" s="37"/>
      <c r="L15" s="71"/>
      <c r="M15" s="37"/>
      <c r="N15" s="60"/>
      <c r="O15" s="37"/>
      <c r="X15" s="98">
        <f>1*10^5/10^7</f>
        <v>0.01</v>
      </c>
    </row>
    <row r="16" spans="2:24" ht="18" customHeight="1" x14ac:dyDescent="0.25">
      <c r="B16" s="84" t="s">
        <v>170</v>
      </c>
      <c r="C16" s="81"/>
      <c r="D16" s="81"/>
      <c r="E16" s="81"/>
      <c r="F16" s="67"/>
      <c r="G16" s="37"/>
      <c r="H16" s="37"/>
      <c r="I16" s="37"/>
      <c r="J16" s="37"/>
      <c r="K16" s="37"/>
      <c r="L16" s="71"/>
      <c r="M16" s="37"/>
      <c r="N16" s="60"/>
      <c r="O16" s="37"/>
    </row>
    <row r="17" spans="2:21" ht="18" customHeight="1" x14ac:dyDescent="0.25">
      <c r="B17" s="73" t="s">
        <v>171</v>
      </c>
      <c r="C17" s="67"/>
      <c r="D17" s="67"/>
      <c r="E17" s="67"/>
      <c r="F17" s="67"/>
      <c r="G17" s="37"/>
      <c r="H17" s="37"/>
      <c r="I17" s="37"/>
      <c r="J17" s="37"/>
      <c r="K17" s="37"/>
      <c r="L17" s="75">
        <v>189.06</v>
      </c>
      <c r="M17" s="37"/>
      <c r="N17" s="71">
        <f>L17*O17</f>
        <v>94.53</v>
      </c>
      <c r="O17" s="85">
        <v>0.5</v>
      </c>
      <c r="R17" s="105"/>
      <c r="S17" s="105"/>
      <c r="T17" s="105"/>
      <c r="U17" s="105"/>
    </row>
    <row r="18" spans="2:21" ht="18" customHeight="1" x14ac:dyDescent="0.25">
      <c r="B18" s="73" t="s">
        <v>172</v>
      </c>
      <c r="C18" s="67"/>
      <c r="D18" s="67"/>
      <c r="E18" s="67"/>
      <c r="F18" s="67"/>
      <c r="G18" s="37"/>
      <c r="H18" s="37"/>
      <c r="I18" s="37"/>
      <c r="J18" s="37"/>
      <c r="K18" s="37"/>
      <c r="L18" s="75">
        <v>1757.74</v>
      </c>
      <c r="M18" s="37"/>
      <c r="N18" s="71">
        <f>T20</f>
        <v>101415.48</v>
      </c>
      <c r="O18" s="85"/>
      <c r="R18" s="105">
        <v>1757.74</v>
      </c>
      <c r="S18" s="105"/>
      <c r="T18" s="105"/>
      <c r="U18" s="105">
        <f>651.72</f>
        <v>651.72</v>
      </c>
    </row>
    <row r="19" spans="2:21" ht="18" customHeight="1" x14ac:dyDescent="0.25">
      <c r="B19" s="86" t="s">
        <v>173</v>
      </c>
      <c r="C19" s="67"/>
      <c r="D19" s="67"/>
      <c r="E19" s="67"/>
      <c r="F19" s="67"/>
      <c r="G19" s="37"/>
      <c r="H19" s="37"/>
      <c r="I19" s="37"/>
      <c r="J19" s="37"/>
      <c r="K19" s="37"/>
      <c r="L19" s="75">
        <v>361.33</v>
      </c>
      <c r="M19" s="87"/>
      <c r="N19" s="75">
        <f>L19*O19</f>
        <v>144.53200000000001</v>
      </c>
      <c r="O19" s="88">
        <v>0.4</v>
      </c>
      <c r="R19" s="105">
        <v>144446.68</v>
      </c>
      <c r="S19" s="105"/>
      <c r="T19" s="106">
        <f>T22*10^7/10^5</f>
        <v>113408</v>
      </c>
      <c r="U19" s="107"/>
    </row>
    <row r="20" spans="2:21" ht="19.5" customHeight="1" x14ac:dyDescent="0.25">
      <c r="B20" s="80" t="s">
        <v>160</v>
      </c>
      <c r="C20" s="81"/>
      <c r="D20" s="81"/>
      <c r="E20" s="81"/>
      <c r="F20" s="81"/>
      <c r="G20" s="41"/>
      <c r="H20" s="41"/>
      <c r="I20" s="41"/>
      <c r="J20" s="41"/>
      <c r="K20" s="41"/>
      <c r="L20" s="82">
        <f>SUM(L17:L19)</f>
        <v>2308.13</v>
      </c>
      <c r="M20" s="41"/>
      <c r="N20" s="82">
        <f>SUM(N17:N19)</f>
        <v>101654.542</v>
      </c>
      <c r="O20" s="41"/>
      <c r="R20" s="108">
        <f>90%*R19</f>
        <v>130002.012</v>
      </c>
      <c r="S20" s="105"/>
      <c r="T20" s="107">
        <f>T19*90%-U18</f>
        <v>101415.48</v>
      </c>
      <c r="U20" s="109"/>
    </row>
    <row r="21" spans="2:21" ht="20.25" customHeight="1" x14ac:dyDescent="0.25">
      <c r="B21" s="83" t="s">
        <v>187</v>
      </c>
      <c r="C21" s="83"/>
      <c r="D21" s="83"/>
      <c r="E21" s="83"/>
      <c r="F21" s="83"/>
      <c r="G21" s="89"/>
      <c r="H21" s="89"/>
      <c r="I21" s="89"/>
      <c r="J21" s="89"/>
      <c r="K21" s="89"/>
      <c r="L21" s="82">
        <f>SUM(L14,L20)</f>
        <v>239203.22999999998</v>
      </c>
      <c r="M21" s="89"/>
      <c r="N21" s="82">
        <f>SUM(N14,N20)</f>
        <v>103610.147</v>
      </c>
      <c r="O21" s="89"/>
      <c r="R21" s="105"/>
      <c r="S21" s="105"/>
      <c r="T21" s="110"/>
      <c r="U21" s="105"/>
    </row>
    <row r="22" spans="2:21" ht="24.75" customHeight="1" x14ac:dyDescent="0.25">
      <c r="B22" s="83" t="s">
        <v>174</v>
      </c>
      <c r="C22" s="67"/>
      <c r="D22" s="67"/>
      <c r="E22" s="67"/>
      <c r="F22" s="67"/>
      <c r="G22" s="37"/>
      <c r="H22" s="37"/>
      <c r="I22" s="37"/>
      <c r="J22" s="37"/>
      <c r="K22" s="37"/>
      <c r="L22" s="71"/>
      <c r="M22" s="37"/>
      <c r="N22" s="60"/>
      <c r="O22" s="37"/>
      <c r="R22" s="105">
        <f>R19*10^5/10^7</f>
        <v>1444.4667999999999</v>
      </c>
      <c r="S22" s="105"/>
      <c r="T22" s="105">
        <v>1134.08</v>
      </c>
      <c r="U22" s="105"/>
    </row>
    <row r="23" spans="2:21" ht="18.75" customHeight="1" x14ac:dyDescent="0.25">
      <c r="B23" s="90" t="s">
        <v>175</v>
      </c>
      <c r="C23" s="67"/>
      <c r="D23" s="67"/>
      <c r="E23" s="67"/>
      <c r="F23" s="67"/>
      <c r="G23" s="37"/>
      <c r="H23" s="37"/>
      <c r="I23" s="37"/>
      <c r="J23" s="37"/>
      <c r="K23" s="37"/>
      <c r="L23" s="71"/>
      <c r="M23" s="37"/>
      <c r="N23" s="60"/>
      <c r="O23" s="37"/>
      <c r="R23" s="105"/>
      <c r="S23" s="105"/>
      <c r="T23" s="105"/>
      <c r="U23" s="105"/>
    </row>
    <row r="24" spans="2:21" ht="16.5" customHeight="1" x14ac:dyDescent="0.25">
      <c r="B24" s="69" t="s">
        <v>176</v>
      </c>
      <c r="C24" s="67"/>
      <c r="D24" s="67"/>
      <c r="E24" s="67"/>
      <c r="F24" s="67"/>
      <c r="G24" s="37"/>
      <c r="H24" s="37"/>
      <c r="I24" s="37"/>
      <c r="J24" s="37"/>
      <c r="K24" s="37"/>
      <c r="L24" s="71">
        <v>10</v>
      </c>
      <c r="M24" s="37"/>
      <c r="N24" s="71">
        <f>L24*O24</f>
        <v>10</v>
      </c>
      <c r="O24" s="85">
        <v>1</v>
      </c>
    </row>
    <row r="25" spans="2:21" ht="17.25" customHeight="1" x14ac:dyDescent="0.25">
      <c r="B25" s="69" t="s">
        <v>177</v>
      </c>
      <c r="C25" s="67"/>
      <c r="D25" s="67"/>
      <c r="E25" s="67"/>
      <c r="F25" s="67"/>
      <c r="G25" s="37"/>
      <c r="H25" s="37"/>
      <c r="I25" s="37"/>
      <c r="J25" s="37"/>
      <c r="K25" s="37"/>
      <c r="L25" s="71">
        <v>24104.48</v>
      </c>
      <c r="M25" s="37"/>
      <c r="N25" s="71">
        <f>L25*O25</f>
        <v>24104.48</v>
      </c>
      <c r="O25" s="85">
        <v>1</v>
      </c>
      <c r="P25" s="43"/>
    </row>
    <row r="26" spans="2:21" ht="18" customHeight="1" x14ac:dyDescent="0.25">
      <c r="B26" s="83" t="s">
        <v>178</v>
      </c>
      <c r="C26" s="81"/>
      <c r="D26" s="81"/>
      <c r="E26" s="81"/>
      <c r="F26" s="81"/>
      <c r="G26" s="41"/>
      <c r="H26" s="41"/>
      <c r="I26" s="41"/>
      <c r="J26" s="41"/>
      <c r="K26" s="41"/>
      <c r="L26" s="82">
        <f>SUM(L24:L25)</f>
        <v>24114.48</v>
      </c>
      <c r="M26" s="37"/>
      <c r="N26" s="82">
        <f>SUM(N24:N25)</f>
        <v>24114.48</v>
      </c>
      <c r="O26" s="37"/>
    </row>
    <row r="27" spans="2:21" ht="20.25" customHeight="1" x14ac:dyDescent="0.25">
      <c r="B27" s="81" t="s">
        <v>179</v>
      </c>
      <c r="C27" s="91"/>
      <c r="D27" s="91"/>
      <c r="E27" s="91"/>
      <c r="F27" s="67"/>
      <c r="G27" s="37"/>
      <c r="H27" s="37"/>
      <c r="I27" s="37"/>
      <c r="J27" s="37"/>
      <c r="K27" s="37"/>
      <c r="L27" s="71"/>
      <c r="M27" s="37"/>
      <c r="N27" s="60"/>
      <c r="O27" s="37"/>
    </row>
    <row r="28" spans="2:21" ht="21" customHeight="1" x14ac:dyDescent="0.25">
      <c r="B28" s="81" t="s">
        <v>180</v>
      </c>
      <c r="C28" s="91"/>
      <c r="D28" s="91"/>
      <c r="E28" s="91"/>
      <c r="F28" s="67"/>
      <c r="G28" s="37"/>
      <c r="H28" s="37"/>
      <c r="I28" s="37"/>
      <c r="J28" s="37"/>
      <c r="K28" s="37"/>
      <c r="L28" s="71"/>
      <c r="M28" s="37"/>
      <c r="N28" s="60"/>
      <c r="O28" s="37"/>
    </row>
    <row r="29" spans="2:21" ht="19.5" customHeight="1" x14ac:dyDescent="0.25">
      <c r="B29" s="91" t="s">
        <v>181</v>
      </c>
      <c r="C29" s="67"/>
      <c r="D29" s="67"/>
      <c r="E29" s="67"/>
      <c r="F29" s="67"/>
      <c r="G29" s="37"/>
      <c r="H29" s="37"/>
      <c r="I29" s="37"/>
      <c r="J29" s="37"/>
      <c r="K29" s="37"/>
      <c r="L29" s="71"/>
      <c r="M29" s="37"/>
      <c r="N29" s="60"/>
      <c r="O29" s="37"/>
      <c r="P29" s="43"/>
    </row>
    <row r="30" spans="2:21" ht="17.25" customHeight="1" x14ac:dyDescent="0.25">
      <c r="B30" s="90" t="s">
        <v>182</v>
      </c>
      <c r="C30" s="81"/>
      <c r="D30" s="81"/>
      <c r="E30" s="81"/>
      <c r="F30" s="67"/>
      <c r="G30" s="37"/>
      <c r="H30" s="37"/>
      <c r="I30" s="37"/>
      <c r="J30" s="37"/>
      <c r="K30" s="37"/>
      <c r="L30" s="71">
        <v>144446.68</v>
      </c>
      <c r="M30" s="37"/>
      <c r="N30" s="71">
        <f>L30*O30</f>
        <v>144446.68</v>
      </c>
      <c r="O30" s="85">
        <v>1</v>
      </c>
      <c r="Q30">
        <f>L30*10^5/10^7</f>
        <v>1444.4667999999999</v>
      </c>
    </row>
    <row r="31" spans="2:21" ht="18.75" customHeight="1" x14ac:dyDescent="0.25">
      <c r="B31" s="84" t="s">
        <v>183</v>
      </c>
      <c r="C31" s="81"/>
      <c r="D31" s="81"/>
      <c r="E31" s="81"/>
      <c r="F31" s="67"/>
      <c r="G31" s="37"/>
      <c r="H31" s="37"/>
      <c r="I31" s="37"/>
      <c r="J31" s="37"/>
      <c r="K31" s="37"/>
      <c r="L31" s="75">
        <v>4478.6000000000004</v>
      </c>
      <c r="M31" s="37"/>
      <c r="N31" s="71">
        <f>L31*O31</f>
        <v>4478.6000000000004</v>
      </c>
      <c r="O31" s="85">
        <v>1</v>
      </c>
    </row>
    <row r="32" spans="2:21" ht="18.75" customHeight="1" x14ac:dyDescent="0.25">
      <c r="B32" s="83" t="s">
        <v>184</v>
      </c>
      <c r="C32" s="83"/>
      <c r="D32" s="83"/>
      <c r="E32" s="83"/>
      <c r="F32" s="77"/>
      <c r="G32" s="87"/>
      <c r="H32" s="87"/>
      <c r="I32" s="87"/>
      <c r="J32" s="87"/>
      <c r="K32" s="87"/>
      <c r="L32" s="82">
        <f>SUM(L30:L31)</f>
        <v>148925.28</v>
      </c>
      <c r="M32" s="87"/>
      <c r="N32" s="82">
        <f>SUM(N30:N31)</f>
        <v>148925.28</v>
      </c>
      <c r="O32" s="87"/>
    </row>
    <row r="33" spans="2:17" ht="21" customHeight="1" x14ac:dyDescent="0.25">
      <c r="B33" s="81" t="s">
        <v>161</v>
      </c>
      <c r="C33" s="91"/>
      <c r="D33" s="91"/>
      <c r="E33" s="91"/>
      <c r="F33" s="67"/>
      <c r="G33" s="37"/>
      <c r="H33" s="37"/>
      <c r="I33" s="37"/>
      <c r="J33" s="37"/>
      <c r="K33" s="37"/>
      <c r="L33" s="71"/>
      <c r="M33" s="37"/>
      <c r="N33" s="60"/>
      <c r="O33" s="37"/>
    </row>
    <row r="34" spans="2:17" ht="18" customHeight="1" x14ac:dyDescent="0.25">
      <c r="B34" s="67" t="s">
        <v>181</v>
      </c>
      <c r="C34" s="91"/>
      <c r="D34" s="91"/>
      <c r="E34" s="91"/>
      <c r="F34" s="67"/>
      <c r="G34" s="37"/>
      <c r="H34" s="37"/>
      <c r="I34" s="37"/>
      <c r="J34" s="37"/>
      <c r="K34" s="37"/>
      <c r="L34" s="92"/>
      <c r="M34" s="37"/>
      <c r="N34" s="61"/>
      <c r="O34" s="37"/>
    </row>
    <row r="35" spans="2:17" x14ac:dyDescent="0.25">
      <c r="B35" s="93" t="s">
        <v>183</v>
      </c>
      <c r="C35" s="91"/>
      <c r="D35" s="91"/>
      <c r="E35" s="91"/>
      <c r="F35" s="67"/>
      <c r="G35" s="37"/>
      <c r="H35" s="37"/>
      <c r="I35" s="37"/>
      <c r="J35" s="37"/>
      <c r="K35" s="37"/>
      <c r="L35" s="79">
        <v>65076.93</v>
      </c>
      <c r="M35" s="37"/>
      <c r="N35" s="71">
        <f t="shared" ref="N35:N36" si="1">L35*O35</f>
        <v>65076.93</v>
      </c>
      <c r="O35" s="85">
        <v>1</v>
      </c>
    </row>
    <row r="36" spans="2:17" ht="17.25" customHeight="1" x14ac:dyDescent="0.25">
      <c r="B36" s="67" t="s">
        <v>185</v>
      </c>
      <c r="C36" s="67"/>
      <c r="D36" s="67"/>
      <c r="E36" s="67"/>
      <c r="F36" s="67"/>
      <c r="G36" s="37"/>
      <c r="H36" s="37"/>
      <c r="I36" s="37"/>
      <c r="J36" s="37"/>
      <c r="K36" s="37"/>
      <c r="L36" s="79">
        <v>1086.55</v>
      </c>
      <c r="M36" s="37"/>
      <c r="N36" s="71">
        <f t="shared" si="1"/>
        <v>1086.55</v>
      </c>
      <c r="O36" s="85">
        <v>1</v>
      </c>
    </row>
    <row r="37" spans="2:17" ht="22.5" customHeight="1" x14ac:dyDescent="0.25">
      <c r="B37" s="83" t="s">
        <v>162</v>
      </c>
      <c r="C37" s="83"/>
      <c r="D37" s="83"/>
      <c r="E37" s="83"/>
      <c r="F37" s="83"/>
      <c r="G37" s="89"/>
      <c r="H37" s="89"/>
      <c r="I37" s="89"/>
      <c r="J37" s="89"/>
      <c r="K37" s="89"/>
      <c r="L37" s="82">
        <f>SUM(L35:L36)</f>
        <v>66163.48</v>
      </c>
      <c r="M37" s="89"/>
      <c r="N37" s="82">
        <f>SUM(N35:N36)</f>
        <v>66163.48</v>
      </c>
      <c r="O37" s="89"/>
      <c r="Q37" s="43"/>
    </row>
    <row r="38" spans="2:17" ht="22.5" customHeight="1" x14ac:dyDescent="0.25">
      <c r="B38" s="83" t="s">
        <v>186</v>
      </c>
      <c r="C38" s="77"/>
      <c r="D38" s="77"/>
      <c r="E38" s="77"/>
      <c r="F38" s="77"/>
      <c r="G38" s="87"/>
      <c r="H38" s="87"/>
      <c r="I38" s="87"/>
      <c r="J38" s="87"/>
      <c r="K38" s="87"/>
      <c r="L38" s="82">
        <f>SUM(L26,L32,L37)</f>
        <v>239203.24</v>
      </c>
      <c r="M38" s="87"/>
      <c r="N38" s="82">
        <f>SUM(N26,N32,N37)</f>
        <v>239203.24</v>
      </c>
      <c r="O38" s="87"/>
      <c r="Q38" s="43"/>
    </row>
    <row r="39" spans="2:17" x14ac:dyDescent="0.25">
      <c r="B39" s="37"/>
      <c r="C39" s="67"/>
      <c r="D39" s="67"/>
      <c r="E39" s="67"/>
      <c r="F39" s="67"/>
      <c r="G39" s="37"/>
      <c r="H39" s="37"/>
      <c r="I39" s="37"/>
      <c r="J39" s="37"/>
      <c r="K39" s="37"/>
      <c r="L39" s="71"/>
      <c r="M39" s="37"/>
      <c r="N39" s="60"/>
      <c r="O39" s="37"/>
      <c r="Q39" s="43"/>
    </row>
    <row r="40" spans="2:17" x14ac:dyDescent="0.25">
      <c r="B40" s="37"/>
      <c r="C40" s="67"/>
      <c r="D40" s="67"/>
      <c r="E40" s="67"/>
      <c r="F40" s="67"/>
      <c r="G40" s="37"/>
      <c r="H40" s="37"/>
      <c r="I40" s="37"/>
      <c r="J40" s="37"/>
      <c r="K40" s="37"/>
      <c r="L40" s="71"/>
      <c r="M40" s="37"/>
      <c r="N40" s="60"/>
      <c r="O40" s="37"/>
    </row>
    <row r="41" spans="2:17" ht="18" customHeight="1" x14ac:dyDescent="0.25">
      <c r="B41" s="37" t="s">
        <v>187</v>
      </c>
      <c r="C41" s="81"/>
      <c r="D41" s="81"/>
      <c r="E41" s="81"/>
      <c r="F41" s="67"/>
      <c r="G41" s="37"/>
      <c r="H41" s="37"/>
      <c r="I41" s="37"/>
      <c r="J41" s="37"/>
      <c r="K41" s="37"/>
      <c r="L41" s="71"/>
      <c r="M41" s="37"/>
      <c r="N41" s="82">
        <f>N21</f>
        <v>103610.147</v>
      </c>
      <c r="O41" s="37"/>
      <c r="Q41" s="43"/>
    </row>
    <row r="42" spans="2:17" ht="27" customHeight="1" x14ac:dyDescent="0.25">
      <c r="B42" s="104" t="s">
        <v>197</v>
      </c>
      <c r="C42" s="81"/>
      <c r="D42" s="81"/>
      <c r="E42" s="81"/>
      <c r="F42" s="67"/>
      <c r="G42" s="37"/>
      <c r="H42" s="37"/>
      <c r="I42" s="37"/>
      <c r="J42" s="37"/>
      <c r="K42" s="37"/>
      <c r="L42" s="71"/>
      <c r="M42" s="37"/>
      <c r="N42" s="82">
        <f>N37+ 20%*N41</f>
        <v>86885.509399999995</v>
      </c>
      <c r="O42" s="37"/>
      <c r="Q42" s="43"/>
    </row>
    <row r="43" spans="2:17" x14ac:dyDescent="0.25">
      <c r="B43" s="81"/>
      <c r="C43" s="81"/>
      <c r="D43" s="81"/>
      <c r="E43" s="81"/>
      <c r="F43" s="81"/>
      <c r="G43" s="41"/>
      <c r="H43" s="41"/>
      <c r="I43" s="41"/>
      <c r="J43" s="41"/>
      <c r="K43" s="41"/>
      <c r="L43" s="82"/>
      <c r="M43" s="37"/>
      <c r="N43" s="94"/>
      <c r="O43" s="37"/>
    </row>
    <row r="44" spans="2:17" ht="21" customHeight="1" x14ac:dyDescent="0.25">
      <c r="B44" s="63" t="s">
        <v>188</v>
      </c>
      <c r="C44" s="63"/>
      <c r="D44" s="63"/>
      <c r="E44" s="95" t="s">
        <v>189</v>
      </c>
      <c r="F44" s="63" t="s">
        <v>190</v>
      </c>
      <c r="G44" s="63"/>
      <c r="H44" s="63"/>
      <c r="I44" s="63"/>
      <c r="J44" s="63"/>
      <c r="K44" s="63"/>
      <c r="L44" s="63"/>
      <c r="M44" s="63"/>
      <c r="N44" s="96">
        <f>N41-N42</f>
        <v>16724.637600000002</v>
      </c>
      <c r="O44" s="63" t="s">
        <v>194</v>
      </c>
    </row>
    <row r="45" spans="2:17" ht="15.75" x14ac:dyDescent="0.25">
      <c r="B45" s="97"/>
      <c r="C45" s="37"/>
      <c r="D45" s="37"/>
      <c r="E45" s="37"/>
      <c r="F45" s="37"/>
      <c r="G45" s="37"/>
      <c r="H45" s="37"/>
      <c r="I45" s="37"/>
      <c r="J45" s="37"/>
      <c r="K45" s="37"/>
      <c r="L45" s="82"/>
      <c r="M45" s="37"/>
      <c r="N45" s="94"/>
      <c r="O45" s="37"/>
    </row>
    <row r="46" spans="2:17" x14ac:dyDescent="0.2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82">
        <f>N44*10^5/10^7</f>
        <v>167.24637600000003</v>
      </c>
      <c r="O46" s="41" t="s">
        <v>191</v>
      </c>
    </row>
    <row r="47" spans="2:17" x14ac:dyDescent="0.25">
      <c r="B47" s="14"/>
    </row>
    <row r="48" spans="2:17" x14ac:dyDescent="0.25">
      <c r="L48" s="23"/>
      <c r="N48" s="21"/>
      <c r="Q48" s="43"/>
    </row>
    <row r="49" spans="2:17" x14ac:dyDescent="0.25">
      <c r="L49" s="25"/>
      <c r="N49" s="21"/>
      <c r="Q49" s="43"/>
    </row>
    <row r="50" spans="2:17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45"/>
      <c r="N50" s="32"/>
    </row>
    <row r="52" spans="2:17" ht="15.75" x14ac:dyDescent="0.25">
      <c r="B52" s="46"/>
    </row>
    <row r="53" spans="2:17" x14ac:dyDescent="0.25">
      <c r="B53" s="47"/>
    </row>
    <row r="54" spans="2:17" x14ac:dyDescent="0.25">
      <c r="B54" s="48"/>
      <c r="L54" s="25"/>
      <c r="N54" s="21"/>
      <c r="Q54" s="43"/>
    </row>
    <row r="55" spans="2:17" x14ac:dyDescent="0.25">
      <c r="B55" s="48"/>
      <c r="L55" s="25"/>
      <c r="N55" s="21"/>
      <c r="Q55" s="43"/>
    </row>
    <row r="56" spans="2:17" x14ac:dyDescent="0.25">
      <c r="B56" s="48"/>
      <c r="L56" s="25"/>
      <c r="N56" s="21"/>
      <c r="Q56" s="43"/>
    </row>
    <row r="57" spans="2:17" x14ac:dyDescent="0.25">
      <c r="B57" s="48"/>
      <c r="L57" s="25"/>
      <c r="N57" s="21"/>
      <c r="Q57" s="43"/>
    </row>
    <row r="58" spans="2:17" x14ac:dyDescent="0.25">
      <c r="B58" s="48"/>
      <c r="L58" s="25"/>
      <c r="N58" s="21"/>
      <c r="Q58" s="43"/>
    </row>
    <row r="59" spans="2:17" x14ac:dyDescent="0.25">
      <c r="B59" s="44"/>
      <c r="C59" s="14"/>
      <c r="D59" s="14"/>
      <c r="E59" s="14"/>
      <c r="F59" s="14"/>
      <c r="G59" s="14"/>
      <c r="H59" s="14"/>
      <c r="I59" s="14"/>
      <c r="J59" s="14"/>
      <c r="K59" s="14"/>
      <c r="L59" s="45"/>
      <c r="N59" s="32"/>
    </row>
    <row r="61" spans="2:17" x14ac:dyDescent="0.25">
      <c r="B61" s="47"/>
    </row>
    <row r="62" spans="2:17" x14ac:dyDescent="0.25">
      <c r="B62" s="48"/>
      <c r="L62" s="25"/>
      <c r="N62" s="21"/>
      <c r="Q62" s="43"/>
    </row>
    <row r="63" spans="2:17" x14ac:dyDescent="0.25">
      <c r="B63" s="48"/>
      <c r="L63" s="25"/>
      <c r="N63" s="21"/>
      <c r="Q63" s="43"/>
    </row>
    <row r="64" spans="2:17" x14ac:dyDescent="0.25">
      <c r="B64" s="48"/>
      <c r="L64" s="25"/>
      <c r="N64" s="21"/>
      <c r="Q64" s="43"/>
    </row>
    <row r="65" spans="2:17" x14ac:dyDescent="0.25">
      <c r="B65" s="48"/>
      <c r="L65" s="25"/>
      <c r="N65" s="21"/>
      <c r="Q65" s="43"/>
    </row>
    <row r="66" spans="2:17" x14ac:dyDescent="0.25">
      <c r="B66" s="48"/>
      <c r="L66" s="25"/>
      <c r="N66" s="21"/>
      <c r="Q66" s="43"/>
    </row>
    <row r="67" spans="2:17" x14ac:dyDescent="0.25">
      <c r="B67" s="48"/>
      <c r="L67" s="25"/>
      <c r="N67" s="21"/>
      <c r="Q67" s="43"/>
    </row>
    <row r="68" spans="2:17" x14ac:dyDescent="0.25">
      <c r="B68" s="48"/>
      <c r="L68" s="25"/>
      <c r="N68" s="21"/>
      <c r="Q68" s="43"/>
    </row>
    <row r="69" spans="2:17" x14ac:dyDescent="0.25">
      <c r="B69" s="44"/>
      <c r="L69" s="45"/>
      <c r="N69" s="32"/>
    </row>
    <row r="71" spans="2:17" x14ac:dyDescent="0.25"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51"/>
      <c r="M71" s="50"/>
      <c r="N71" s="52"/>
      <c r="O71" s="50"/>
    </row>
    <row r="72" spans="2:17" x14ac:dyDescent="0.25"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51"/>
      <c r="M72" s="50"/>
      <c r="N72" s="52"/>
      <c r="O72" s="50"/>
    </row>
    <row r="73" spans="2:17" x14ac:dyDescent="0.25"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51"/>
      <c r="M73" s="50"/>
      <c r="N73" s="52"/>
      <c r="O73" s="50"/>
    </row>
    <row r="74" spans="2:17" x14ac:dyDescent="0.25"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</row>
    <row r="75" spans="2:17" x14ac:dyDescent="0.25">
      <c r="B75" s="53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4"/>
      <c r="O75" s="53"/>
    </row>
    <row r="76" spans="2:17" x14ac:dyDescent="0.25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</row>
  </sheetData>
  <mergeCells count="2">
    <mergeCell ref="B2:O2"/>
    <mergeCell ref="B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CCA</vt:lpstr>
      <vt:lpstr>Historical Financials</vt:lpstr>
      <vt:lpstr>Sheet2</vt:lpstr>
      <vt:lpstr>NAV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2022-04-04T12:42:09Z</dcterms:modified>
</cp:coreProperties>
</file>