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activeTab="1"/>
  </bookViews>
  <sheets>
    <sheet name="Hotel" sheetId="1" r:id="rId1"/>
    <sheet name="Building" sheetId="2" r:id="rId2"/>
    <sheet name="P&amp;M" sheetId="3" r:id="rId3"/>
    <sheet name="Land" sheetId="4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ill" hidden="1">#REF!</definedName>
    <definedName name="_xlnm._FilterDatabase" localSheetId="2" hidden="1">'P&amp;M'!$C$3:$AP$68</definedName>
    <definedName name="_FIX01">#REF!</definedName>
    <definedName name="_PL01">#REF!</definedName>
    <definedName name="_SCH01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66_">#REF!</definedName>
    <definedName name="A7_">#REF!</definedName>
    <definedName name="A8_">#REF!</definedName>
    <definedName name="A9_">#REF!</definedName>
    <definedName name="AS2DocOpenMode" hidden="1">"AS2DocumentEdit"</definedName>
    <definedName name="BS00">#REF!</definedName>
    <definedName name="BS01_">#REF!</definedName>
    <definedName name="FIX00">#REF!</definedName>
    <definedName name="IT00">#REF!</definedName>
    <definedName name="IT01_">#REF!</definedName>
    <definedName name="NEW\Z">#REF!</definedName>
    <definedName name="NEW_Z">#REF!</definedName>
    <definedName name="PL00">#REF!</definedName>
    <definedName name="_xlnm.Print_Area">#REF!</definedName>
    <definedName name="SCH00">#REF!</definedName>
    <definedName name="Waiting">"Picture 1"</definedName>
    <definedName name="wrn.MGT._.REPORT." hidden="1">{"4.1BS",#N/A,TRUE,"4.5 MP Chart";"4.1.1NOTE",#N/A,TRUE,"4.5 MP Chart";"4.2PL(SUM)",#N/A,TRUE,"4.5 MP Chart";"4.2.1PL",#N/A,TRUE,"4.5 MP Chart";"4.2.2PL(MTH)",#N/A,TRUE,"4.5 MP Chart";"4.3CF",#N/A,TRUE,"4.5 MP Chart";"4.4AR",#N/A,TRUE,"4.5 MP Chart";"4.5MP CHART",#N/A,TRUE,"4.5 MP Chart"}</definedName>
  </definedNames>
  <calcPr calcId="152511"/>
</workbook>
</file>

<file path=xl/calcChain.xml><?xml version="1.0" encoding="utf-8"?>
<calcChain xmlns="http://schemas.openxmlformats.org/spreadsheetml/2006/main">
  <c r="Q19" i="2" l="1"/>
  <c r="R21" i="2" l="1"/>
  <c r="I21" i="2" l="1"/>
  <c r="H21" i="2"/>
  <c r="L17" i="2"/>
  <c r="I17" i="2"/>
  <c r="L18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I18" i="2"/>
  <c r="N18" i="2" s="1"/>
  <c r="O18" i="2" s="1"/>
  <c r="P18" i="2" s="1"/>
  <c r="I16" i="2"/>
  <c r="N16" i="2" s="1"/>
  <c r="O16" i="2" s="1"/>
  <c r="P16" i="2" s="1"/>
  <c r="I15" i="2"/>
  <c r="N15" i="2" s="1"/>
  <c r="O15" i="2" s="1"/>
  <c r="P15" i="2" s="1"/>
  <c r="I14" i="2"/>
  <c r="N14" i="2" s="1"/>
  <c r="O14" i="2" s="1"/>
  <c r="P14" i="2" s="1"/>
  <c r="I13" i="2"/>
  <c r="N13" i="2" s="1"/>
  <c r="O13" i="2" s="1"/>
  <c r="P13" i="2" s="1"/>
  <c r="I12" i="2"/>
  <c r="N12" i="2" s="1"/>
  <c r="O12" i="2" s="1"/>
  <c r="P12" i="2" s="1"/>
  <c r="I11" i="2"/>
  <c r="N11" i="2" s="1"/>
  <c r="O11" i="2" s="1"/>
  <c r="P11" i="2" s="1"/>
  <c r="I10" i="2"/>
  <c r="N10" i="2" s="1"/>
  <c r="O10" i="2" s="1"/>
  <c r="P10" i="2" s="1"/>
  <c r="I9" i="2"/>
  <c r="N9" i="2" s="1"/>
  <c r="O9" i="2" s="1"/>
  <c r="P9" i="2" s="1"/>
  <c r="I8" i="2"/>
  <c r="N8" i="2" s="1"/>
  <c r="O8" i="2" s="1"/>
  <c r="P8" i="2" s="1"/>
  <c r="I7" i="2"/>
  <c r="N7" i="2" s="1"/>
  <c r="O7" i="2" s="1"/>
  <c r="P7" i="2" s="1"/>
  <c r="I6" i="2"/>
  <c r="N6" i="2" s="1"/>
  <c r="O6" i="2" s="1"/>
  <c r="P6" i="2" s="1"/>
  <c r="I5" i="2"/>
  <c r="N5" i="2" s="1"/>
  <c r="O5" i="2" s="1"/>
  <c r="P5" i="2" s="1"/>
  <c r="I4" i="2"/>
  <c r="N4" i="2" s="1"/>
  <c r="O4" i="2" s="1"/>
  <c r="P4" i="2" s="1"/>
  <c r="I5" i="4"/>
  <c r="J19" i="1"/>
  <c r="J16" i="1"/>
  <c r="N17" i="2" l="1"/>
  <c r="O17" i="2" s="1"/>
  <c r="P17" i="2" s="1"/>
  <c r="AK71" i="3"/>
  <c r="S19" i="2" l="1"/>
  <c r="K5" i="4"/>
  <c r="R19" i="2" s="1"/>
  <c r="E5" i="4"/>
  <c r="AK68" i="3"/>
  <c r="AJ67" i="3"/>
  <c r="AK67" i="3"/>
  <c r="Z67" i="3"/>
  <c r="V67" i="3" s="1"/>
  <c r="F67" i="3"/>
  <c r="AJ66" i="3"/>
  <c r="AL66" i="3"/>
  <c r="I66" i="3"/>
  <c r="AK66" i="3" s="1"/>
  <c r="F66" i="3"/>
  <c r="AJ65" i="3"/>
  <c r="AK65" i="3"/>
  <c r="Z65" i="3"/>
  <c r="V65" i="3" s="1"/>
  <c r="AA65" i="3" s="1"/>
  <c r="AB65" i="3" s="1"/>
  <c r="Y65" i="3"/>
  <c r="W65" i="3"/>
  <c r="F65" i="3"/>
  <c r="AJ64" i="3"/>
  <c r="Z64" i="3"/>
  <c r="V64" i="3" s="1"/>
  <c r="AA64" i="3" s="1"/>
  <c r="Y64" i="3"/>
  <c r="I64" i="3"/>
  <c r="AK64" i="3" s="1"/>
  <c r="F64" i="3"/>
  <c r="AJ63" i="3"/>
  <c r="AL63" i="3"/>
  <c r="I63" i="3"/>
  <c r="AK63" i="3" s="1"/>
  <c r="F63" i="3"/>
  <c r="AJ62" i="3"/>
  <c r="AL62" i="3"/>
  <c r="I62" i="3"/>
  <c r="AK62" i="3" s="1"/>
  <c r="F62" i="3"/>
  <c r="AJ61" i="3"/>
  <c r="AL61" i="3"/>
  <c r="I61" i="3"/>
  <c r="AK61" i="3" s="1"/>
  <c r="F61" i="3"/>
  <c r="AJ60" i="3"/>
  <c r="AL60" i="3"/>
  <c r="I60" i="3"/>
  <c r="AK60" i="3" s="1"/>
  <c r="F60" i="3"/>
  <c r="AJ59" i="3"/>
  <c r="AK59" i="3"/>
  <c r="AG59" i="3"/>
  <c r="F59" i="3"/>
  <c r="AJ58" i="3"/>
  <c r="AG58" i="3"/>
  <c r="I58" i="3"/>
  <c r="AK58" i="3" s="1"/>
  <c r="F58" i="3"/>
  <c r="AJ57" i="3"/>
  <c r="AG57" i="3"/>
  <c r="I57" i="3"/>
  <c r="AK57" i="3" s="1"/>
  <c r="F57" i="3"/>
  <c r="AJ56" i="3"/>
  <c r="AG56" i="3"/>
  <c r="AI56" i="3" s="1"/>
  <c r="I56" i="3"/>
  <c r="AK56" i="3" s="1"/>
  <c r="F56" i="3"/>
  <c r="AJ55" i="3"/>
  <c r="AK55" i="3"/>
  <c r="Z55" i="3"/>
  <c r="Y55" i="3"/>
  <c r="V55" i="3"/>
  <c r="AA55" i="3" s="1"/>
  <c r="F55" i="3"/>
  <c r="AJ54" i="3"/>
  <c r="AK54" i="3"/>
  <c r="AM54" i="3" s="1"/>
  <c r="Z54" i="3"/>
  <c r="V54" i="3" s="1"/>
  <c r="Y54" i="3"/>
  <c r="F54" i="3"/>
  <c r="AJ53" i="3"/>
  <c r="AK53" i="3"/>
  <c r="Z53" i="3"/>
  <c r="V53" i="3" s="1"/>
  <c r="Y53" i="3"/>
  <c r="F53" i="3"/>
  <c r="AJ52" i="3"/>
  <c r="AK52" i="3"/>
  <c r="Z52" i="3"/>
  <c r="V52" i="3" s="1"/>
  <c r="Y52" i="3"/>
  <c r="F52" i="3"/>
  <c r="AJ51" i="3"/>
  <c r="AK51" i="3"/>
  <c r="Z51" i="3"/>
  <c r="Y51" i="3"/>
  <c r="V51" i="3"/>
  <c r="AA51" i="3" s="1"/>
  <c r="F51" i="3"/>
  <c r="AJ50" i="3"/>
  <c r="AK50" i="3"/>
  <c r="Z50" i="3"/>
  <c r="V50" i="3" s="1"/>
  <c r="Y50" i="3"/>
  <c r="F50" i="3"/>
  <c r="AJ49" i="3"/>
  <c r="AK49" i="3"/>
  <c r="AC49" i="3"/>
  <c r="AD49" i="3" s="1"/>
  <c r="F49" i="3"/>
  <c r="AJ48" i="3"/>
  <c r="AI48" i="3"/>
  <c r="AG48" i="3"/>
  <c r="I48" i="3"/>
  <c r="AK48" i="3" s="1"/>
  <c r="F48" i="3"/>
  <c r="AJ47" i="3"/>
  <c r="AG47" i="3"/>
  <c r="I47" i="3"/>
  <c r="AK47" i="3" s="1"/>
  <c r="F47" i="3"/>
  <c r="AJ46" i="3"/>
  <c r="AG46" i="3"/>
  <c r="AI46" i="3" s="1"/>
  <c r="I46" i="3"/>
  <c r="AK46" i="3" s="1"/>
  <c r="F46" i="3"/>
  <c r="AJ45" i="3"/>
  <c r="AG45" i="3"/>
  <c r="AI45" i="3" s="1"/>
  <c r="AL45" i="3" s="1"/>
  <c r="I45" i="3"/>
  <c r="AK45" i="3" s="1"/>
  <c r="AM45" i="3" s="1"/>
  <c r="AN45" i="3" s="1"/>
  <c r="AO45" i="3" s="1"/>
  <c r="F45" i="3"/>
  <c r="AJ44" i="3"/>
  <c r="AG44" i="3"/>
  <c r="I44" i="3"/>
  <c r="AK44" i="3" s="1"/>
  <c r="F44" i="3"/>
  <c r="AJ43" i="3"/>
  <c r="AG43" i="3"/>
  <c r="I43" i="3"/>
  <c r="AK43" i="3" s="1"/>
  <c r="F43" i="3"/>
  <c r="AJ42" i="3"/>
  <c r="AG42" i="3"/>
  <c r="AI42" i="3" s="1"/>
  <c r="AL42" i="3" s="1"/>
  <c r="I42" i="3"/>
  <c r="AK42" i="3" s="1"/>
  <c r="F42" i="3"/>
  <c r="AJ41" i="3"/>
  <c r="AI41" i="3"/>
  <c r="AG41" i="3"/>
  <c r="I41" i="3"/>
  <c r="AK41" i="3" s="1"/>
  <c r="F41" i="3"/>
  <c r="AJ40" i="3"/>
  <c r="AK40" i="3"/>
  <c r="AN40" i="3" s="1"/>
  <c r="AO40" i="3" s="1"/>
  <c r="AP40" i="3" s="1"/>
  <c r="F40" i="3"/>
  <c r="AJ39" i="3"/>
  <c r="AK39" i="3"/>
  <c r="AA39" i="3"/>
  <c r="Z39" i="3"/>
  <c r="V39" i="3" s="1"/>
  <c r="Y39" i="3"/>
  <c r="F39" i="3"/>
  <c r="AJ38" i="3"/>
  <c r="Z38" i="3"/>
  <c r="Y38" i="3"/>
  <c r="V38" i="3"/>
  <c r="AA38" i="3" s="1"/>
  <c r="I38" i="3"/>
  <c r="AK38" i="3" s="1"/>
  <c r="F38" i="3"/>
  <c r="AJ37" i="3"/>
  <c r="AK37" i="3"/>
  <c r="Z37" i="3"/>
  <c r="Y37" i="3"/>
  <c r="V37" i="3"/>
  <c r="AA37" i="3" s="1"/>
  <c r="F37" i="3"/>
  <c r="AJ36" i="3"/>
  <c r="AK36" i="3"/>
  <c r="Z36" i="3"/>
  <c r="V36" i="3" s="1"/>
  <c r="Y36" i="3"/>
  <c r="F36" i="3"/>
  <c r="AJ35" i="3"/>
  <c r="AK35" i="3"/>
  <c r="Z35" i="3"/>
  <c r="V35" i="3" s="1"/>
  <c r="Y35" i="3"/>
  <c r="F35" i="3"/>
  <c r="AM34" i="3"/>
  <c r="AN34" i="3" s="1"/>
  <c r="AO34" i="3" s="1"/>
  <c r="AJ34" i="3"/>
  <c r="AK34" i="3"/>
  <c r="Z34" i="3"/>
  <c r="V34" i="3" s="1"/>
  <c r="Y34" i="3"/>
  <c r="F34" i="3"/>
  <c r="AJ33" i="3"/>
  <c r="AK33" i="3"/>
  <c r="AL33" i="3"/>
  <c r="I33" i="3"/>
  <c r="F33" i="3"/>
  <c r="AJ32" i="3"/>
  <c r="AM32" i="3" s="1"/>
  <c r="AL32" i="3"/>
  <c r="I32" i="3"/>
  <c r="AK32" i="3" s="1"/>
  <c r="F32" i="3"/>
  <c r="AJ31" i="3"/>
  <c r="AL31" i="3"/>
  <c r="I31" i="3"/>
  <c r="AK31" i="3" s="1"/>
  <c r="F31" i="3"/>
  <c r="AJ30" i="3"/>
  <c r="AF30" i="3"/>
  <c r="AD30" i="3"/>
  <c r="V30" i="3"/>
  <c r="AB30" i="3" s="1"/>
  <c r="AC30" i="3" s="1"/>
  <c r="I30" i="3"/>
  <c r="AK30" i="3" s="1"/>
  <c r="F30" i="3"/>
  <c r="AJ29" i="3"/>
  <c r="AK29" i="3"/>
  <c r="AN29" i="3" s="1"/>
  <c r="AO29" i="3" s="1"/>
  <c r="Z29" i="3"/>
  <c r="V29" i="3" s="1"/>
  <c r="Y29" i="3"/>
  <c r="F29" i="3"/>
  <c r="AJ28" i="3"/>
  <c r="Z28" i="3"/>
  <c r="V28" i="3" s="1"/>
  <c r="AA28" i="3" s="1"/>
  <c r="Y28" i="3"/>
  <c r="I28" i="3"/>
  <c r="AK28" i="3" s="1"/>
  <c r="F28" i="3"/>
  <c r="AJ27" i="3"/>
  <c r="AK27" i="3"/>
  <c r="Z27" i="3"/>
  <c r="V27" i="3" s="1"/>
  <c r="AA27" i="3" s="1"/>
  <c r="Y27" i="3"/>
  <c r="F27" i="3"/>
  <c r="AJ26" i="3"/>
  <c r="AK26" i="3"/>
  <c r="Z26" i="3"/>
  <c r="V26" i="3" s="1"/>
  <c r="AA26" i="3" s="1"/>
  <c r="Y26" i="3"/>
  <c r="F26" i="3"/>
  <c r="AJ25" i="3"/>
  <c r="AK25" i="3"/>
  <c r="Z25" i="3"/>
  <c r="V25" i="3" s="1"/>
  <c r="Y25" i="3"/>
  <c r="F25" i="3"/>
  <c r="AJ24" i="3"/>
  <c r="AL24" i="3"/>
  <c r="I24" i="3"/>
  <c r="AK24" i="3" s="1"/>
  <c r="F24" i="3"/>
  <c r="AJ23" i="3"/>
  <c r="AL23" i="3"/>
  <c r="I23" i="3"/>
  <c r="AK23" i="3" s="1"/>
  <c r="F23" i="3"/>
  <c r="AJ22" i="3"/>
  <c r="AL22" i="3"/>
  <c r="I22" i="3"/>
  <c r="AK22" i="3" s="1"/>
  <c r="F22" i="3"/>
  <c r="AJ21" i="3"/>
  <c r="AL21" i="3"/>
  <c r="I21" i="3"/>
  <c r="AK21" i="3" s="1"/>
  <c r="F21" i="3"/>
  <c r="AJ20" i="3"/>
  <c r="AL20" i="3"/>
  <c r="I20" i="3"/>
  <c r="AK20" i="3" s="1"/>
  <c r="F20" i="3"/>
  <c r="AJ19" i="3"/>
  <c r="AL19" i="3"/>
  <c r="I19" i="3"/>
  <c r="AK19" i="3" s="1"/>
  <c r="AM19" i="3" s="1"/>
  <c r="F19" i="3"/>
  <c r="AJ18" i="3"/>
  <c r="AK18" i="3"/>
  <c r="AL18" i="3"/>
  <c r="I18" i="3"/>
  <c r="F18" i="3"/>
  <c r="AJ17" i="3"/>
  <c r="AK17" i="3"/>
  <c r="AL17" i="3"/>
  <c r="I17" i="3"/>
  <c r="F17" i="3"/>
  <c r="AJ16" i="3"/>
  <c r="AL16" i="3"/>
  <c r="I16" i="3"/>
  <c r="AK16" i="3" s="1"/>
  <c r="F16" i="3"/>
  <c r="AJ15" i="3"/>
  <c r="AG15" i="3"/>
  <c r="I15" i="3"/>
  <c r="AK15" i="3" s="1"/>
  <c r="F15" i="3"/>
  <c r="AJ14" i="3"/>
  <c r="AG14" i="3"/>
  <c r="AI14" i="3" s="1"/>
  <c r="I14" i="3"/>
  <c r="AK14" i="3" s="1"/>
  <c r="F14" i="3"/>
  <c r="AJ13" i="3"/>
  <c r="AG13" i="3"/>
  <c r="I13" i="3"/>
  <c r="AK13" i="3" s="1"/>
  <c r="F13" i="3"/>
  <c r="AJ12" i="3"/>
  <c r="AG12" i="3"/>
  <c r="AI12" i="3" s="1"/>
  <c r="AL12" i="3" s="1"/>
  <c r="I12" i="3"/>
  <c r="AK12" i="3" s="1"/>
  <c r="F12" i="3"/>
  <c r="AJ11" i="3"/>
  <c r="AG11" i="3"/>
  <c r="I11" i="3"/>
  <c r="F11" i="3"/>
  <c r="AJ10" i="3"/>
  <c r="AK10" i="3"/>
  <c r="AC10" i="3"/>
  <c r="AD10" i="3" s="1"/>
  <c r="F10" i="3"/>
  <c r="AJ9" i="3"/>
  <c r="AK9" i="3"/>
  <c r="Z9" i="3"/>
  <c r="V9" i="3" s="1"/>
  <c r="AB9" i="3" s="1"/>
  <c r="AD9" i="3" s="1"/>
  <c r="F9" i="3"/>
  <c r="AJ8" i="3"/>
  <c r="AK8" i="3"/>
  <c r="AM8" i="3" s="1"/>
  <c r="AN8" i="3" s="1"/>
  <c r="AO8" i="3" s="1"/>
  <c r="Z8" i="3"/>
  <c r="V8" i="3" s="1"/>
  <c r="Y8" i="3"/>
  <c r="F8" i="3"/>
  <c r="AJ7" i="3"/>
  <c r="AK7" i="3"/>
  <c r="Z7" i="3"/>
  <c r="Y7" i="3"/>
  <c r="V7" i="3"/>
  <c r="AA7" i="3" s="1"/>
  <c r="F7" i="3"/>
  <c r="AJ6" i="3"/>
  <c r="AM6" i="3" s="1"/>
  <c r="AK6" i="3"/>
  <c r="Z6" i="3"/>
  <c r="V6" i="3" s="1"/>
  <c r="Y6" i="3"/>
  <c r="F6" i="3"/>
  <c r="AJ5" i="3"/>
  <c r="AK5" i="3"/>
  <c r="Z5" i="3"/>
  <c r="V5" i="3" s="1"/>
  <c r="Y5" i="3"/>
  <c r="F5" i="3"/>
  <c r="AJ4" i="3"/>
  <c r="AK4" i="3"/>
  <c r="Z4" i="3"/>
  <c r="V4" i="3" s="1"/>
  <c r="AA4" i="3" s="1"/>
  <c r="Y4" i="3"/>
  <c r="F4" i="3"/>
  <c r="L9" i="1"/>
  <c r="N15" i="1"/>
  <c r="L14" i="1"/>
  <c r="N14" i="1"/>
  <c r="H18" i="2"/>
  <c r="M15" i="1"/>
  <c r="M14" i="1"/>
  <c r="M13" i="1"/>
  <c r="N13" i="1"/>
  <c r="K15" i="1"/>
  <c r="K14" i="1"/>
  <c r="K13" i="1"/>
  <c r="H19" i="2" l="1"/>
  <c r="AM16" i="3"/>
  <c r="AM52" i="3"/>
  <c r="AM10" i="3"/>
  <c r="AN10" i="3" s="1"/>
  <c r="AO10" i="3" s="1"/>
  <c r="AM44" i="3"/>
  <c r="AL46" i="3"/>
  <c r="AM53" i="3"/>
  <c r="AL56" i="3"/>
  <c r="AN6" i="3"/>
  <c r="AO6" i="3" s="1"/>
  <c r="AM26" i="3"/>
  <c r="AN36" i="3"/>
  <c r="AO36" i="3" s="1"/>
  <c r="AM22" i="3"/>
  <c r="AN22" i="3" s="1"/>
  <c r="AO22" i="3" s="1"/>
  <c r="AP22" i="3" s="1"/>
  <c r="AM36" i="3"/>
  <c r="AM38" i="3"/>
  <c r="AL41" i="3"/>
  <c r="AM60" i="3"/>
  <c r="AN60" i="3" s="1"/>
  <c r="AO60" i="3" s="1"/>
  <c r="AP60" i="3" s="1"/>
  <c r="AA5" i="3"/>
  <c r="AB5" i="3" s="1"/>
  <c r="AM63" i="3"/>
  <c r="AN63" i="3" s="1"/>
  <c r="AO63" i="3" s="1"/>
  <c r="AP63" i="3" s="1"/>
  <c r="AA35" i="3"/>
  <c r="AB35" i="3" s="1"/>
  <c r="AC35" i="3" s="1"/>
  <c r="AD35" i="3" s="1"/>
  <c r="AA52" i="3"/>
  <c r="AB52" i="3" s="1"/>
  <c r="AC52" i="3" s="1"/>
  <c r="AD52" i="3" s="1"/>
  <c r="AG52" i="3" s="1"/>
  <c r="AI11" i="3"/>
  <c r="AL11" i="3" s="1"/>
  <c r="AM14" i="3"/>
  <c r="AN14" i="3" s="1"/>
  <c r="AO14" i="3" s="1"/>
  <c r="AI15" i="3"/>
  <c r="AL15" i="3" s="1"/>
  <c r="AM18" i="3"/>
  <c r="AN18" i="3" s="1"/>
  <c r="AO18" i="3" s="1"/>
  <c r="AP18" i="3" s="1"/>
  <c r="AM39" i="3"/>
  <c r="AM56" i="3"/>
  <c r="AN56" i="3" s="1"/>
  <c r="AO56" i="3" s="1"/>
  <c r="AI59" i="3"/>
  <c r="AL59" i="3" s="1"/>
  <c r="AM20" i="3"/>
  <c r="AM24" i="3"/>
  <c r="AN24" i="3" s="1"/>
  <c r="AO24" i="3" s="1"/>
  <c r="AP24" i="3" s="1"/>
  <c r="AB38" i="3"/>
  <c r="AM51" i="3"/>
  <c r="AN51" i="3" s="1"/>
  <c r="AO51" i="3" s="1"/>
  <c r="AN54" i="3"/>
  <c r="AO54" i="3" s="1"/>
  <c r="AM55" i="3"/>
  <c r="AN55" i="3" s="1"/>
  <c r="AO55" i="3" s="1"/>
  <c r="AM58" i="3"/>
  <c r="AM65" i="3"/>
  <c r="AN65" i="3" s="1"/>
  <c r="AO65" i="3" s="1"/>
  <c r="AM67" i="3"/>
  <c r="AN67" i="3" s="1"/>
  <c r="AO67" i="3" s="1"/>
  <c r="AN26" i="3"/>
  <c r="AO26" i="3" s="1"/>
  <c r="AB7" i="3"/>
  <c r="AN19" i="3"/>
  <c r="AO19" i="3" s="1"/>
  <c r="AP19" i="3" s="1"/>
  <c r="AB26" i="3"/>
  <c r="AB37" i="3"/>
  <c r="AM48" i="3"/>
  <c r="AN48" i="3" s="1"/>
  <c r="AO48" i="3" s="1"/>
  <c r="AM50" i="3"/>
  <c r="AN50" i="3" s="1"/>
  <c r="AO50" i="3" s="1"/>
  <c r="AB51" i="3"/>
  <c r="AB55" i="3"/>
  <c r="AB64" i="3"/>
  <c r="AC64" i="3" s="1"/>
  <c r="AD64" i="3" s="1"/>
  <c r="AF9" i="3"/>
  <c r="AG9" i="3" s="1"/>
  <c r="AC7" i="3"/>
  <c r="AD7" i="3" s="1"/>
  <c r="AN16" i="3"/>
  <c r="AO16" i="3" s="1"/>
  <c r="AP16" i="3" s="1"/>
  <c r="AA34" i="3"/>
  <c r="AB34" i="3" s="1"/>
  <c r="AM64" i="3"/>
  <c r="AA6" i="3"/>
  <c r="AB6" i="3" s="1"/>
  <c r="AF10" i="3"/>
  <c r="AG10" i="3" s="1"/>
  <c r="AK11" i="3"/>
  <c r="AC65" i="3"/>
  <c r="AD65" i="3" s="1"/>
  <c r="AI13" i="3"/>
  <c r="AL13" i="3" s="1"/>
  <c r="AA25" i="3"/>
  <c r="AB25" i="3" s="1"/>
  <c r="AB28" i="3"/>
  <c r="AA36" i="3"/>
  <c r="AB36" i="3" s="1"/>
  <c r="AM59" i="3"/>
  <c r="AN59" i="3" s="1"/>
  <c r="AO59" i="3" s="1"/>
  <c r="AN64" i="3"/>
  <c r="AO64" i="3" s="1"/>
  <c r="AM7" i="3"/>
  <c r="AN7" i="3" s="1"/>
  <c r="AO7" i="3" s="1"/>
  <c r="AM9" i="3"/>
  <c r="AN9" i="3" s="1"/>
  <c r="AO9" i="3" s="1"/>
  <c r="AC26" i="3"/>
  <c r="AD26" i="3" s="1"/>
  <c r="AM27" i="3"/>
  <c r="AN27" i="3" s="1"/>
  <c r="AO27" i="3" s="1"/>
  <c r="AB4" i="3"/>
  <c r="AM5" i="3"/>
  <c r="AN5" i="3" s="1"/>
  <c r="AO5" i="3" s="1"/>
  <c r="AA8" i="3"/>
  <c r="AB8" i="3" s="1"/>
  <c r="AM15" i="3"/>
  <c r="AN15" i="3" s="1"/>
  <c r="AO15" i="3" s="1"/>
  <c r="AM21" i="3"/>
  <c r="AM33" i="3"/>
  <c r="AN33" i="3" s="1"/>
  <c r="AO33" i="3" s="1"/>
  <c r="AP33" i="3" s="1"/>
  <c r="AC37" i="3"/>
  <c r="AD37" i="3" s="1"/>
  <c r="AL58" i="3"/>
  <c r="AI58" i="3"/>
  <c r="AM41" i="3"/>
  <c r="AN41" i="3" s="1"/>
  <c r="AO41" i="3" s="1"/>
  <c r="AP41" i="3" s="1"/>
  <c r="AN44" i="3"/>
  <c r="AO44" i="3" s="1"/>
  <c r="AP45" i="3"/>
  <c r="AF49" i="3"/>
  <c r="AG49" i="3" s="1"/>
  <c r="AM62" i="3"/>
  <c r="AN62" i="3" s="1"/>
  <c r="AO62" i="3" s="1"/>
  <c r="AP62" i="3" s="1"/>
  <c r="AA67" i="3"/>
  <c r="AB67" i="3" s="1"/>
  <c r="AM13" i="3"/>
  <c r="AN13" i="3" s="1"/>
  <c r="AO13" i="3" s="1"/>
  <c r="AM17" i="3"/>
  <c r="AN17" i="3" s="1"/>
  <c r="AO17" i="3" s="1"/>
  <c r="AP17" i="3" s="1"/>
  <c r="AM23" i="3"/>
  <c r="AN23" i="3" s="1"/>
  <c r="AO23" i="3" s="1"/>
  <c r="AP23" i="3" s="1"/>
  <c r="AM25" i="3"/>
  <c r="AN25" i="3" s="1"/>
  <c r="AO25" i="3" s="1"/>
  <c r="AM28" i="3"/>
  <c r="AN28" i="3" s="1"/>
  <c r="AO28" i="3" s="1"/>
  <c r="AM31" i="3"/>
  <c r="AN31" i="3" s="1"/>
  <c r="AO31" i="3" s="1"/>
  <c r="AP31" i="3" s="1"/>
  <c r="AM42" i="3"/>
  <c r="AN42" i="3" s="1"/>
  <c r="AO42" i="3" s="1"/>
  <c r="AP42" i="3" s="1"/>
  <c r="AM43" i="3"/>
  <c r="AN43" i="3" s="1"/>
  <c r="AO43" i="3" s="1"/>
  <c r="AI44" i="3"/>
  <c r="AL44" i="3" s="1"/>
  <c r="AP44" i="3" s="1"/>
  <c r="AA53" i="3"/>
  <c r="AB53" i="3" s="1"/>
  <c r="AI57" i="3"/>
  <c r="AL57" i="3" s="1"/>
  <c r="AM12" i="3"/>
  <c r="AN12" i="3" s="1"/>
  <c r="AO12" i="3" s="1"/>
  <c r="AP12" i="3" s="1"/>
  <c r="AL14" i="3"/>
  <c r="AN20" i="3"/>
  <c r="AO20" i="3" s="1"/>
  <c r="AP20" i="3" s="1"/>
  <c r="AN21" i="3"/>
  <c r="AO21" i="3" s="1"/>
  <c r="AP21" i="3" s="1"/>
  <c r="AB27" i="3"/>
  <c r="AA29" i="3"/>
  <c r="AB29" i="3" s="1"/>
  <c r="AG30" i="3"/>
  <c r="AM30" i="3"/>
  <c r="AN30" i="3" s="1"/>
  <c r="AO30" i="3" s="1"/>
  <c r="AN39" i="3"/>
  <c r="AO39" i="3" s="1"/>
  <c r="AI47" i="3"/>
  <c r="AL47" i="3" s="1"/>
  <c r="AM49" i="3"/>
  <c r="AN49" i="3" s="1"/>
  <c r="AO49" i="3" s="1"/>
  <c r="AN53" i="3"/>
  <c r="AO53" i="3" s="1"/>
  <c r="AM61" i="3"/>
  <c r="AN61" i="3" s="1"/>
  <c r="AO61" i="3" s="1"/>
  <c r="AP61" i="3" s="1"/>
  <c r="AM66" i="3"/>
  <c r="AN66" i="3" s="1"/>
  <c r="AO66" i="3" s="1"/>
  <c r="AP66" i="3" s="1"/>
  <c r="AM37" i="3"/>
  <c r="AN37" i="3" s="1"/>
  <c r="AO37" i="3" s="1"/>
  <c r="AN38" i="3"/>
  <c r="AO38" i="3" s="1"/>
  <c r="AD38" i="3"/>
  <c r="AI43" i="3"/>
  <c r="AL43" i="3" s="1"/>
  <c r="AP43" i="3" s="1"/>
  <c r="AM47" i="3"/>
  <c r="AN47" i="3" s="1"/>
  <c r="AO47" i="3" s="1"/>
  <c r="AA50" i="3"/>
  <c r="AB50" i="3" s="1"/>
  <c r="AN52" i="3"/>
  <c r="AO52" i="3" s="1"/>
  <c r="AA54" i="3"/>
  <c r="AB54" i="3" s="1"/>
  <c r="AN32" i="3"/>
  <c r="AO32" i="3" s="1"/>
  <c r="AP32" i="3" s="1"/>
  <c r="AM35" i="3"/>
  <c r="AN35" i="3" s="1"/>
  <c r="AO35" i="3" s="1"/>
  <c r="AC38" i="3"/>
  <c r="AB39" i="3"/>
  <c r="AM46" i="3"/>
  <c r="AN46" i="3" s="1"/>
  <c r="AO46" i="3" s="1"/>
  <c r="AP46" i="3" s="1"/>
  <c r="AL48" i="3"/>
  <c r="AC51" i="3"/>
  <c r="AD51" i="3" s="1"/>
  <c r="AG51" i="3" s="1"/>
  <c r="AC55" i="3"/>
  <c r="AD55" i="3" s="1"/>
  <c r="AG55" i="3" s="1"/>
  <c r="AM57" i="3"/>
  <c r="AN57" i="3" s="1"/>
  <c r="AO57" i="3" s="1"/>
  <c r="AN58" i="3"/>
  <c r="AO58" i="3" s="1"/>
  <c r="N16" i="1"/>
  <c r="P19" i="2"/>
  <c r="F23" i="1"/>
  <c r="G26" i="1"/>
  <c r="G24" i="1"/>
  <c r="G16" i="1"/>
  <c r="T19" i="2" l="1"/>
  <c r="U19" i="2" s="1"/>
  <c r="W19" i="2" s="1"/>
  <c r="AP59" i="3"/>
  <c r="AP56" i="3"/>
  <c r="AC5" i="3"/>
  <c r="AD5" i="3" s="1"/>
  <c r="AF5" i="3" s="1"/>
  <c r="AG5" i="3" s="1"/>
  <c r="AP14" i="3"/>
  <c r="AP15" i="3"/>
  <c r="AP48" i="3"/>
  <c r="AC54" i="3"/>
  <c r="AD54" i="3" s="1"/>
  <c r="AG54" i="3" s="1"/>
  <c r="AF37" i="3"/>
  <c r="AG37" i="3" s="1"/>
  <c r="AF26" i="3"/>
  <c r="AG26" i="3" s="1"/>
  <c r="AC25" i="3"/>
  <c r="AD25" i="3"/>
  <c r="AD6" i="3"/>
  <c r="AC6" i="3"/>
  <c r="AC34" i="3"/>
  <c r="AD34" i="3" s="1"/>
  <c r="AF35" i="3"/>
  <c r="AG35" i="3" s="1"/>
  <c r="AP47" i="3"/>
  <c r="AC29" i="3"/>
  <c r="AD29" i="3" s="1"/>
  <c r="AC36" i="3"/>
  <c r="AD36" i="3" s="1"/>
  <c r="AI52" i="3"/>
  <c r="AL52" i="3" s="1"/>
  <c r="AP52" i="3" s="1"/>
  <c r="AC8" i="3"/>
  <c r="AD8" i="3" s="1"/>
  <c r="AF65" i="3"/>
  <c r="AG65" i="3" s="1"/>
  <c r="AC50" i="3"/>
  <c r="AD50" i="3" s="1"/>
  <c r="AG50" i="3" s="1"/>
  <c r="AF38" i="3"/>
  <c r="AG38" i="3" s="1"/>
  <c r="AC27" i="3"/>
  <c r="AD27" i="3"/>
  <c r="AP57" i="3"/>
  <c r="AC67" i="3"/>
  <c r="AD67" i="3" s="1"/>
  <c r="AC53" i="3"/>
  <c r="AD53" i="3" s="1"/>
  <c r="AG53" i="3" s="1"/>
  <c r="AI49" i="3"/>
  <c r="AL49" i="3" s="1"/>
  <c r="AP49" i="3" s="1"/>
  <c r="AP58" i="3"/>
  <c r="AP13" i="3"/>
  <c r="AF64" i="3"/>
  <c r="AG64" i="3" s="1"/>
  <c r="AF7" i="3"/>
  <c r="AG7" i="3" s="1"/>
  <c r="AI55" i="3"/>
  <c r="AL55" i="3" s="1"/>
  <c r="AP55" i="3" s="1"/>
  <c r="AI51" i="3"/>
  <c r="AL51" i="3" s="1"/>
  <c r="AP51" i="3" s="1"/>
  <c r="AI30" i="3"/>
  <c r="AL30" i="3" s="1"/>
  <c r="AP30" i="3" s="1"/>
  <c r="AC4" i="3"/>
  <c r="AD4" i="3" s="1"/>
  <c r="AM11" i="3"/>
  <c r="AN11" i="3" s="1"/>
  <c r="AO11" i="3" s="1"/>
  <c r="AC39" i="3"/>
  <c r="AD39" i="3"/>
  <c r="AC28" i="3"/>
  <c r="AD28" i="3" s="1"/>
  <c r="AI10" i="3"/>
  <c r="AL10" i="3" s="1"/>
  <c r="AP10" i="3" s="1"/>
  <c r="AI9" i="3"/>
  <c r="AL9" i="3" s="1"/>
  <c r="AP9" i="3" s="1"/>
  <c r="W21" i="2" l="1"/>
  <c r="X21" i="2" s="1"/>
  <c r="AI65" i="3"/>
  <c r="AL65" i="3" s="1"/>
  <c r="AP65" i="3" s="1"/>
  <c r="AI26" i="3"/>
  <c r="AL26" i="3" s="1"/>
  <c r="AP26" i="3" s="1"/>
  <c r="AI5" i="3"/>
  <c r="AL5" i="3" s="1"/>
  <c r="AP5" i="3" s="1"/>
  <c r="AI38" i="3"/>
  <c r="AL38" i="3" s="1"/>
  <c r="AP38" i="3" s="1"/>
  <c r="AF36" i="3"/>
  <c r="AG36" i="3" s="1"/>
  <c r="AI7" i="3"/>
  <c r="AL7" i="3" s="1"/>
  <c r="AP7" i="3" s="1"/>
  <c r="AP11" i="3"/>
  <c r="AO68" i="3"/>
  <c r="AI64" i="3"/>
  <c r="AL64" i="3" s="1"/>
  <c r="AP64" i="3" s="1"/>
  <c r="AI53" i="3"/>
  <c r="AL53" i="3" s="1"/>
  <c r="AP53" i="3" s="1"/>
  <c r="AF34" i="3"/>
  <c r="AG34" i="3" s="1"/>
  <c r="AI54" i="3"/>
  <c r="AL54" i="3" s="1"/>
  <c r="AP54" i="3" s="1"/>
  <c r="AI50" i="3"/>
  <c r="AL50" i="3"/>
  <c r="AP50" i="3" s="1"/>
  <c r="AI37" i="3"/>
  <c r="AL37" i="3" s="1"/>
  <c r="AP37" i="3" s="1"/>
  <c r="AF39" i="3"/>
  <c r="AG39" i="3" s="1"/>
  <c r="AF28" i="3"/>
  <c r="AG28" i="3"/>
  <c r="AF27" i="3"/>
  <c r="AG27" i="3" s="1"/>
  <c r="AF8" i="3"/>
  <c r="AG8" i="3" s="1"/>
  <c r="AF25" i="3"/>
  <c r="AG25" i="3" s="1"/>
  <c r="AF4" i="3"/>
  <c r="AG4" i="3" s="1"/>
  <c r="AF67" i="3"/>
  <c r="AG67" i="3" s="1"/>
  <c r="AF29" i="3"/>
  <c r="AG29" i="3" s="1"/>
  <c r="AI35" i="3"/>
  <c r="AL35" i="3" s="1"/>
  <c r="AP35" i="3" s="1"/>
  <c r="AF6" i="3"/>
  <c r="AG6" i="3" s="1"/>
  <c r="AI67" i="3" l="1"/>
  <c r="AL67" i="3" s="1"/>
  <c r="AP67" i="3" s="1"/>
  <c r="AI27" i="3"/>
  <c r="AL27" i="3" s="1"/>
  <c r="AP27" i="3" s="1"/>
  <c r="AI6" i="3"/>
  <c r="AL6" i="3" s="1"/>
  <c r="AP6" i="3" s="1"/>
  <c r="AI34" i="3"/>
  <c r="AL34" i="3" s="1"/>
  <c r="AP34" i="3" s="1"/>
  <c r="AI25" i="3"/>
  <c r="AL25" i="3" s="1"/>
  <c r="AP25" i="3" s="1"/>
  <c r="AI4" i="3"/>
  <c r="AL4" i="3" s="1"/>
  <c r="AI29" i="3"/>
  <c r="AL29" i="3" s="1"/>
  <c r="AP29" i="3" s="1"/>
  <c r="AI8" i="3"/>
  <c r="AL8" i="3" s="1"/>
  <c r="AP8" i="3" s="1"/>
  <c r="AI39" i="3"/>
  <c r="AL39" i="3"/>
  <c r="AP39" i="3" s="1"/>
  <c r="AI36" i="3"/>
  <c r="AL36" i="3" s="1"/>
  <c r="AP36" i="3" s="1"/>
  <c r="AI28" i="3"/>
  <c r="AL28" i="3" s="1"/>
  <c r="AP28" i="3" s="1"/>
  <c r="AL68" i="3" l="1"/>
  <c r="AP4" i="3"/>
</calcChain>
</file>

<file path=xl/sharedStrings.xml><?xml version="1.0" encoding="utf-8"?>
<sst xmlns="http://schemas.openxmlformats.org/spreadsheetml/2006/main" count="196" uniqueCount="104">
  <si>
    <t>DEED No.</t>
  </si>
  <si>
    <t>Deed Date</t>
  </si>
  <si>
    <t>Owner</t>
  </si>
  <si>
    <t>Mr. M.P. Purushottam</t>
  </si>
  <si>
    <t>Ms. Empee International Hotel and Resorts Limited</t>
  </si>
  <si>
    <t>Area</t>
  </si>
  <si>
    <t>3 Ground and 1996.5 sq.ft.</t>
  </si>
  <si>
    <t>S.No</t>
  </si>
  <si>
    <t>3 Ground and 1537 sq.ft.</t>
  </si>
  <si>
    <t>Total Area (Sq.ft.)</t>
  </si>
  <si>
    <t>VACANT LAND</t>
  </si>
  <si>
    <t>25TH September 1998</t>
  </si>
  <si>
    <t>3 Ground 1537 sq.ft.</t>
  </si>
  <si>
    <t>17th Novemeber 2004</t>
  </si>
  <si>
    <t>1 ground and 749 sq.ft.</t>
  </si>
  <si>
    <t>29th November 2007</t>
  </si>
  <si>
    <t>Total land</t>
  </si>
  <si>
    <t>124/1</t>
  </si>
  <si>
    <t>T.S. No.</t>
  </si>
  <si>
    <t>LAND AREA DETAILS</t>
  </si>
  <si>
    <t>S. No</t>
  </si>
  <si>
    <t>Deed No.</t>
  </si>
  <si>
    <r>
      <t xml:space="preserve">Total Area </t>
    </r>
    <r>
      <rPr>
        <i/>
        <sz val="11"/>
        <color theme="1"/>
        <rFont val="Calibri"/>
        <family val="2"/>
        <scheme val="minor"/>
      </rPr>
      <t>(Sq.ft.)</t>
    </r>
  </si>
  <si>
    <t>Total</t>
  </si>
  <si>
    <t>Floor</t>
  </si>
  <si>
    <t>Car Parking Basement-2</t>
  </si>
  <si>
    <t>Basement- Office/Services</t>
  </si>
  <si>
    <t>Ground Floor</t>
  </si>
  <si>
    <t>Mezzanine Floor</t>
  </si>
  <si>
    <t>1st Floor</t>
  </si>
  <si>
    <t>2nd Floor</t>
  </si>
  <si>
    <t>3rd Floor</t>
  </si>
  <si>
    <t>Terrace</t>
  </si>
  <si>
    <t>4th Floor</t>
  </si>
  <si>
    <t>5th Floor</t>
  </si>
  <si>
    <t>6th Floor</t>
  </si>
  <si>
    <t>7th Floor</t>
  </si>
  <si>
    <t>8th Floor</t>
  </si>
  <si>
    <t>9th Floor</t>
  </si>
  <si>
    <t>Year of Construction</t>
  </si>
  <si>
    <t>CIVIL STRUCTURE AREA DETAILS</t>
  </si>
  <si>
    <r>
      <t xml:space="preserve">Construction Area
</t>
    </r>
    <r>
      <rPr>
        <i/>
        <sz val="11"/>
        <color theme="1"/>
        <rFont val="Calibri"/>
        <family val="2"/>
        <scheme val="minor"/>
      </rPr>
      <t>(in sq.ft)</t>
    </r>
  </si>
  <si>
    <t>Economic Life</t>
  </si>
  <si>
    <t>Swimming Pool</t>
  </si>
  <si>
    <t>Type of Asset</t>
  </si>
  <si>
    <t>units</t>
  </si>
  <si>
    <t>Original Cost</t>
  </si>
  <si>
    <t>Depreciation rate new</t>
  </si>
  <si>
    <t>Depreciation rate old</t>
  </si>
  <si>
    <t>WDV as on 31/03/2008</t>
  </si>
  <si>
    <t>WDV as on 31/03/2009</t>
  </si>
  <si>
    <t>WDV as on 31/03/2010</t>
  </si>
  <si>
    <t>WDV as on 31/03/2011</t>
  </si>
  <si>
    <t>WDV as on 31/03/2012</t>
  </si>
  <si>
    <t>WDV as on 31/03/2013</t>
  </si>
  <si>
    <t>WDV as on 31/03/2014</t>
  </si>
  <si>
    <t>WDV as on 31/03/2015</t>
  </si>
  <si>
    <t>WDV as on 31/03/2016</t>
  </si>
  <si>
    <t>Additions 2016-17</t>
  </si>
  <si>
    <t>WDV as on 31/03/2017</t>
  </si>
  <si>
    <t>Cum Dep As on 31/03/2014</t>
  </si>
  <si>
    <t>Depreciation 2014-15</t>
  </si>
  <si>
    <t>Depreciation 2015-16</t>
  </si>
  <si>
    <t>Depreciation 2016-17</t>
  </si>
  <si>
    <t>Depreciation 2017-18</t>
  </si>
  <si>
    <t>WDV as on 31/03/2018</t>
  </si>
  <si>
    <t>Depreciation FY 2018-19</t>
  </si>
  <si>
    <t>WDV as on 31/03/2019</t>
  </si>
  <si>
    <t>Additions 19-20</t>
  </si>
  <si>
    <t>Depreciation FY 2019-20</t>
  </si>
  <si>
    <t>WDV as on 31/03/2020</t>
  </si>
  <si>
    <t>Addition FY 2020 21</t>
  </si>
  <si>
    <t>Depreciation FY 2020-21</t>
  </si>
  <si>
    <t>Gross Block</t>
  </si>
  <si>
    <t>Depreciation</t>
  </si>
  <si>
    <t>Computer</t>
  </si>
  <si>
    <t>Furniture &amp; Fittings</t>
  </si>
  <si>
    <t>Machinery</t>
  </si>
  <si>
    <t>Office Equipment</t>
  </si>
  <si>
    <t>Vehicle</t>
  </si>
  <si>
    <t>Date of Capatalization</t>
  </si>
  <si>
    <t>Date of Valuation</t>
  </si>
  <si>
    <t>Operational Life Consumed</t>
  </si>
  <si>
    <t>VALUATION OF PLANT &amp; MACHINERY &amp; OTHER FIXED ASSETS CAPATALIZED IN HILTON HOTEL | CHENNAI | TAMIL NADU</t>
  </si>
  <si>
    <t>Depreciated Amount</t>
  </si>
  <si>
    <t>Fair Market Value</t>
  </si>
  <si>
    <r>
      <t xml:space="preserve">Net Block
</t>
    </r>
    <r>
      <rPr>
        <i/>
        <sz val="11"/>
        <color theme="1"/>
        <rFont val="Calibri"/>
        <family val="2"/>
        <scheme val="minor"/>
      </rPr>
      <t>(as on 31/03/2021)</t>
    </r>
  </si>
  <si>
    <t>Total Fair Market Value</t>
  </si>
  <si>
    <t>S. No.</t>
  </si>
  <si>
    <t>Nature of Land</t>
  </si>
  <si>
    <t>Total GLR Rate</t>
  </si>
  <si>
    <t>Total Fair Market Value of Land</t>
  </si>
  <si>
    <t>VALUATION OF LAND</t>
  </si>
  <si>
    <t>Comercial</t>
  </si>
  <si>
    <r>
      <t xml:space="preserve">Land Area
</t>
    </r>
    <r>
      <rPr>
        <i/>
        <sz val="11"/>
        <color theme="1"/>
        <rFont val="Calibri"/>
        <family val="2"/>
        <scheme val="minor"/>
      </rPr>
      <t>(per sq.mtr)</t>
    </r>
  </si>
  <si>
    <r>
      <t xml:space="preserve">Land Area
</t>
    </r>
    <r>
      <rPr>
        <i/>
        <sz val="11"/>
        <color theme="1"/>
        <rFont val="Calibri"/>
        <family val="2"/>
        <scheme val="minor"/>
      </rPr>
      <t>(per sq.ft)</t>
    </r>
  </si>
  <si>
    <r>
      <t xml:space="preserve">Govt. Guideline Rate
</t>
    </r>
    <r>
      <rPr>
        <i/>
        <sz val="11"/>
        <color theme="1"/>
        <rFont val="Calibri"/>
        <family val="2"/>
        <scheme val="minor"/>
      </rPr>
      <t>(per sq.mtr)</t>
    </r>
  </si>
  <si>
    <r>
      <t xml:space="preserve">Market Rate
</t>
    </r>
    <r>
      <rPr>
        <i/>
        <sz val="11"/>
        <color theme="1"/>
        <rFont val="Calibri"/>
        <family val="2"/>
        <scheme val="minor"/>
      </rPr>
      <t>(per sq.ft)</t>
    </r>
  </si>
  <si>
    <t>Operationla Life Consumed</t>
  </si>
  <si>
    <t>Depreciation Factor</t>
  </si>
  <si>
    <t>Salvage Value</t>
  </si>
  <si>
    <r>
      <t xml:space="preserve">Gross Current Reproduction Cost
</t>
    </r>
    <r>
      <rPr>
        <i/>
        <sz val="11"/>
        <color theme="1"/>
        <rFont val="Calibri"/>
        <family val="2"/>
        <scheme val="minor"/>
      </rPr>
      <t>(per sq.ft)</t>
    </r>
  </si>
  <si>
    <r>
      <t>Depreciation</t>
    </r>
    <r>
      <rPr>
        <i/>
        <sz val="11"/>
        <color theme="1"/>
        <rFont val="Calibri"/>
        <family val="2"/>
        <scheme val="minor"/>
      </rPr>
      <t xml:space="preserve">
(per sq.ft)</t>
    </r>
  </si>
  <si>
    <r>
      <t xml:space="preserve">Depreciated Amount
</t>
    </r>
    <r>
      <rPr>
        <i/>
        <sz val="11"/>
        <color theme="1"/>
        <rFont val="Calibri"/>
        <family val="2"/>
        <scheme val="minor"/>
      </rPr>
      <t>(per sq.ft)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</si>
</sst>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[$-409]dd/mmm/yy;@"/>
    <numFmt numFmtId="171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7" fillId="0" borderId="0" applyFill="0" applyBorder="0" applyAlignment="0" applyProtection="0"/>
    <xf numFmtId="168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43" fontId="0" fillId="0" borderId="0" xfId="1" applyFont="1"/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0" xfId="0" applyNumberFormat="1" applyFont="1"/>
    <xf numFmtId="43" fontId="1" fillId="0" borderId="0" xfId="0" applyNumberFormat="1" applyFont="1"/>
    <xf numFmtId="164" fontId="1" fillId="0" borderId="0" xfId="0" applyNumberFormat="1" applyFont="1"/>
    <xf numFmtId="0" fontId="0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43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0" fontId="0" fillId="0" borderId="1" xfId="3" applyNumberFormat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167" fontId="9" fillId="0" borderId="1" xfId="4" applyNumberFormat="1" applyFont="1" applyFill="1" applyBorder="1" applyAlignment="1">
      <alignment horizontal="center" vertical="center"/>
    </xf>
    <xf numFmtId="2" fontId="9" fillId="0" borderId="1" xfId="3" applyNumberFormat="1" applyFont="1" applyBorder="1" applyAlignment="1">
      <alignment horizontal="center" vertical="center"/>
    </xf>
    <xf numFmtId="169" fontId="9" fillId="0" borderId="1" xfId="5" applyNumberFormat="1" applyFont="1" applyFill="1" applyBorder="1" applyAlignment="1">
      <alignment horizontal="center" vertical="center"/>
    </xf>
    <xf numFmtId="169" fontId="0" fillId="0" borderId="1" xfId="5" applyNumberFormat="1" applyFont="1" applyFill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0" fontId="0" fillId="0" borderId="1" xfId="3" applyFont="1" applyFill="1" applyBorder="1" applyAlignment="1">
      <alignment horizontal="left" vertical="center"/>
    </xf>
    <xf numFmtId="0" fontId="0" fillId="0" borderId="1" xfId="3" applyFont="1" applyFill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9" fillId="0" borderId="1" xfId="4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4" applyNumberFormat="1" applyFont="1" applyBorder="1" applyAlignment="1">
      <alignment horizontal="center" vertical="center"/>
    </xf>
    <xf numFmtId="171" fontId="0" fillId="0" borderId="1" xfId="0" applyNumberFormat="1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9" fontId="0" fillId="0" borderId="0" xfId="6" applyFont="1"/>
    <xf numFmtId="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3" fillId="0" borderId="6" xfId="4" applyNumberFormat="1" applyFont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</cellXfs>
  <cellStyles count="7">
    <cellStyle name="Comma" xfId="1" builtinId="3"/>
    <cellStyle name="Comma 2" xfId="4"/>
    <cellStyle name="Comma 5" xfId="5"/>
    <cellStyle name="Normal" xfId="0" builtinId="0"/>
    <cellStyle name="Normal 4" xfId="3"/>
    <cellStyle name="Percent" xfId="6" builtinId="5"/>
    <cellStyle name="Percent 3" xfId="2"/>
  </cellStyles>
  <dxfs count="0"/>
  <tableStyles count="0" defaultTableStyle="TableStyleMedium2" defaultPivotStyle="PivotStyleMedium9"/>
  <colors>
    <mruColors>
      <color rgb="FFDBE5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A10" workbookViewId="0">
      <selection activeCell="J19" sqref="J19"/>
    </sheetView>
  </sheetViews>
  <sheetFormatPr defaultRowHeight="15" x14ac:dyDescent="0.25"/>
  <cols>
    <col min="3" max="3" width="11.140625" bestFit="1" customWidth="1"/>
    <col min="4" max="4" width="19.85546875" bestFit="1" customWidth="1"/>
    <col min="5" max="5" width="27.85546875" customWidth="1"/>
    <col min="6" max="6" width="13.28515625" customWidth="1"/>
    <col min="7" max="7" width="14.140625" customWidth="1"/>
    <col min="10" max="10" width="15.28515625" bestFit="1" customWidth="1"/>
    <col min="14" max="14" width="15.28515625" bestFit="1" customWidth="1"/>
  </cols>
  <sheetData>
    <row r="2" spans="2:14" ht="15.75" x14ac:dyDescent="0.25">
      <c r="B2" s="52" t="s">
        <v>19</v>
      </c>
      <c r="C2" s="53"/>
      <c r="D2" s="53"/>
      <c r="E2" s="53"/>
      <c r="F2" s="53"/>
      <c r="G2" s="53"/>
      <c r="H2" s="53"/>
    </row>
    <row r="3" spans="2:14" ht="30" x14ac:dyDescent="0.25">
      <c r="B3" s="14" t="s">
        <v>20</v>
      </c>
      <c r="C3" s="14" t="s">
        <v>21</v>
      </c>
      <c r="D3" s="15" t="s">
        <v>1</v>
      </c>
      <c r="E3" s="15" t="s">
        <v>2</v>
      </c>
      <c r="F3" s="14" t="s">
        <v>5</v>
      </c>
      <c r="G3" s="15" t="s">
        <v>22</v>
      </c>
      <c r="H3" s="15" t="s">
        <v>18</v>
      </c>
    </row>
    <row r="4" spans="2:14" x14ac:dyDescent="0.25">
      <c r="B4" s="56">
        <v>1</v>
      </c>
      <c r="C4" s="55">
        <v>684</v>
      </c>
      <c r="D4" s="57">
        <v>36307</v>
      </c>
      <c r="E4" s="7" t="s">
        <v>3</v>
      </c>
      <c r="F4" s="55" t="s">
        <v>6</v>
      </c>
      <c r="G4" s="56">
        <v>9196.5</v>
      </c>
      <c r="H4" s="56" t="s">
        <v>17</v>
      </c>
    </row>
    <row r="5" spans="2:14" ht="30" x14ac:dyDescent="0.25">
      <c r="B5" s="56"/>
      <c r="C5" s="55"/>
      <c r="D5" s="56"/>
      <c r="E5" s="4" t="s">
        <v>4</v>
      </c>
      <c r="F5" s="55"/>
      <c r="G5" s="56"/>
      <c r="H5" s="56"/>
    </row>
    <row r="6" spans="2:14" x14ac:dyDescent="0.25">
      <c r="B6" s="56">
        <v>2</v>
      </c>
      <c r="C6" s="55">
        <v>3404</v>
      </c>
      <c r="D6" s="57">
        <v>36077</v>
      </c>
      <c r="E6" s="7" t="s">
        <v>3</v>
      </c>
      <c r="F6" s="55" t="s">
        <v>8</v>
      </c>
      <c r="G6" s="56">
        <v>8737</v>
      </c>
      <c r="H6" s="56" t="s">
        <v>17</v>
      </c>
    </row>
    <row r="7" spans="2:14" ht="30" x14ac:dyDescent="0.25">
      <c r="B7" s="56"/>
      <c r="C7" s="55"/>
      <c r="D7" s="56"/>
      <c r="E7" s="4" t="s">
        <v>4</v>
      </c>
      <c r="F7" s="55"/>
      <c r="G7" s="56"/>
      <c r="H7" s="56"/>
    </row>
    <row r="8" spans="2:14" x14ac:dyDescent="0.25">
      <c r="B8" s="56">
        <v>3</v>
      </c>
      <c r="C8" s="56">
        <v>3742</v>
      </c>
      <c r="D8" s="57">
        <v>36108</v>
      </c>
      <c r="E8" s="7" t="s">
        <v>3</v>
      </c>
      <c r="F8" s="55" t="s">
        <v>8</v>
      </c>
      <c r="G8" s="56">
        <v>8737</v>
      </c>
      <c r="H8" s="56" t="s">
        <v>17</v>
      </c>
    </row>
    <row r="9" spans="2:14" ht="30" x14ac:dyDescent="0.25">
      <c r="B9" s="56"/>
      <c r="C9" s="56"/>
      <c r="D9" s="56"/>
      <c r="E9" s="4" t="s">
        <v>4</v>
      </c>
      <c r="F9" s="55"/>
      <c r="G9" s="56"/>
      <c r="H9" s="56"/>
      <c r="L9">
        <f>14000*70%</f>
        <v>9800</v>
      </c>
    </row>
    <row r="10" spans="2:14" x14ac:dyDescent="0.25">
      <c r="B10" s="56">
        <v>4</v>
      </c>
      <c r="C10" s="56">
        <v>685</v>
      </c>
      <c r="D10" s="57">
        <v>36250</v>
      </c>
      <c r="E10" s="7" t="s">
        <v>3</v>
      </c>
      <c r="F10" s="55" t="s">
        <v>8</v>
      </c>
      <c r="G10" s="56">
        <v>8737</v>
      </c>
      <c r="H10" s="56" t="s">
        <v>17</v>
      </c>
    </row>
    <row r="11" spans="2:14" ht="30" x14ac:dyDescent="0.25">
      <c r="B11" s="56"/>
      <c r="C11" s="56"/>
      <c r="D11" s="56"/>
      <c r="E11" s="4" t="s">
        <v>4</v>
      </c>
      <c r="F11" s="55"/>
      <c r="G11" s="56"/>
      <c r="H11" s="56"/>
    </row>
    <row r="12" spans="2:14" x14ac:dyDescent="0.25">
      <c r="B12" s="56">
        <v>5</v>
      </c>
      <c r="C12" s="56">
        <v>1196</v>
      </c>
      <c r="D12" s="57">
        <v>36063</v>
      </c>
      <c r="E12" s="7" t="s">
        <v>3</v>
      </c>
      <c r="F12" s="55" t="s">
        <v>8</v>
      </c>
      <c r="G12" s="56">
        <v>8737</v>
      </c>
      <c r="H12" s="56" t="s">
        <v>17</v>
      </c>
    </row>
    <row r="13" spans="2:14" ht="30" x14ac:dyDescent="0.25">
      <c r="B13" s="56"/>
      <c r="C13" s="56"/>
      <c r="D13" s="56"/>
      <c r="E13" s="4" t="s">
        <v>4</v>
      </c>
      <c r="F13" s="55"/>
      <c r="G13" s="56"/>
      <c r="H13" s="56"/>
      <c r="J13">
        <v>70</v>
      </c>
      <c r="K13">
        <f>75/4.75</f>
        <v>15.789473684210526</v>
      </c>
      <c r="L13">
        <v>18000</v>
      </c>
      <c r="M13">
        <f>J13*K13*10.764</f>
        <v>11897.052631578947</v>
      </c>
      <c r="N13">
        <f>L13*M13</f>
        <v>214146947.36842105</v>
      </c>
    </row>
    <row r="14" spans="2:14" x14ac:dyDescent="0.25">
      <c r="B14" s="56">
        <v>6</v>
      </c>
      <c r="C14" s="56">
        <v>3120</v>
      </c>
      <c r="D14" s="57">
        <v>36049</v>
      </c>
      <c r="E14" s="7" t="s">
        <v>3</v>
      </c>
      <c r="F14" s="55" t="s">
        <v>8</v>
      </c>
      <c r="G14" s="56">
        <v>8737</v>
      </c>
      <c r="H14" s="56" t="s">
        <v>17</v>
      </c>
      <c r="J14">
        <v>70</v>
      </c>
      <c r="K14">
        <f>K13*1.5</f>
        <v>23.684210526315788</v>
      </c>
      <c r="L14">
        <f>L13*2/3</f>
        <v>12000</v>
      </c>
      <c r="M14">
        <f t="shared" ref="M14:M15" si="0">J14*K14*10.764</f>
        <v>17845.57894736842</v>
      </c>
      <c r="N14">
        <f t="shared" ref="N14:N15" si="1">L14*M14</f>
        <v>214146947.36842105</v>
      </c>
    </row>
    <row r="15" spans="2:14" ht="30" x14ac:dyDescent="0.25">
      <c r="B15" s="56"/>
      <c r="C15" s="56"/>
      <c r="D15" s="56"/>
      <c r="E15" s="4" t="s">
        <v>4</v>
      </c>
      <c r="F15" s="55"/>
      <c r="G15" s="56"/>
      <c r="H15" s="56"/>
      <c r="J15">
        <v>70</v>
      </c>
      <c r="K15">
        <f>K14*1.5</f>
        <v>35.526315789473685</v>
      </c>
      <c r="L15">
        <v>9000</v>
      </c>
      <c r="M15">
        <f t="shared" si="0"/>
        <v>26768.36842105263</v>
      </c>
      <c r="N15">
        <f t="shared" si="1"/>
        <v>240915315.78947368</v>
      </c>
    </row>
    <row r="16" spans="2:14" x14ac:dyDescent="0.25">
      <c r="B16" s="54" t="s">
        <v>23</v>
      </c>
      <c r="C16" s="54"/>
      <c r="D16" s="54"/>
      <c r="E16" s="54"/>
      <c r="F16" s="54"/>
      <c r="G16" s="12">
        <f>SUM(G4:G15)</f>
        <v>52881.5</v>
      </c>
      <c r="H16" s="7"/>
      <c r="I16">
        <v>14000</v>
      </c>
      <c r="J16" s="13">
        <f>(G16+G20+G22)*I16</f>
        <v>906745000</v>
      </c>
      <c r="L16" s="13"/>
      <c r="N16" s="18">
        <f>SUM(N13:N15)</f>
        <v>669209210.52631581</v>
      </c>
    </row>
    <row r="18" spans="2:10" x14ac:dyDescent="0.25">
      <c r="B18" s="58" t="s">
        <v>10</v>
      </c>
      <c r="C18" s="58"/>
      <c r="D18" s="58"/>
      <c r="E18" s="58"/>
      <c r="F18" s="58"/>
      <c r="G18" s="58"/>
    </row>
    <row r="19" spans="2:10" ht="30" x14ac:dyDescent="0.25">
      <c r="B19" s="8" t="s">
        <v>7</v>
      </c>
      <c r="C19" s="8" t="s">
        <v>0</v>
      </c>
      <c r="D19" s="9" t="s">
        <v>1</v>
      </c>
      <c r="E19" s="9" t="s">
        <v>2</v>
      </c>
      <c r="F19" s="8" t="s">
        <v>5</v>
      </c>
      <c r="G19" s="9" t="s">
        <v>9</v>
      </c>
      <c r="J19" s="13">
        <f>G16+G20+G22</f>
        <v>64767.5</v>
      </c>
    </row>
    <row r="20" spans="2:10" x14ac:dyDescent="0.25">
      <c r="B20" s="59">
        <v>1</v>
      </c>
      <c r="C20" s="59">
        <v>1196</v>
      </c>
      <c r="D20" s="59" t="s">
        <v>11</v>
      </c>
      <c r="E20" s="5" t="s">
        <v>3</v>
      </c>
      <c r="F20" s="55" t="s">
        <v>12</v>
      </c>
      <c r="G20" s="56">
        <v>8737</v>
      </c>
      <c r="H20" s="56" t="s">
        <v>17</v>
      </c>
    </row>
    <row r="21" spans="2:10" ht="30" x14ac:dyDescent="0.25">
      <c r="B21" s="60"/>
      <c r="C21" s="60"/>
      <c r="D21" s="60"/>
      <c r="E21" s="2" t="s">
        <v>4</v>
      </c>
      <c r="F21" s="55"/>
      <c r="G21" s="56"/>
      <c r="H21" s="56"/>
    </row>
    <row r="22" spans="2:10" ht="30" x14ac:dyDescent="0.25">
      <c r="B22" s="5">
        <v>2</v>
      </c>
      <c r="C22" s="3">
        <v>7444</v>
      </c>
      <c r="D22" s="1" t="s">
        <v>13</v>
      </c>
      <c r="E22" s="2" t="s">
        <v>4</v>
      </c>
      <c r="F22" s="6" t="s">
        <v>14</v>
      </c>
      <c r="G22" s="3">
        <v>3149</v>
      </c>
      <c r="H22" s="5">
        <v>124</v>
      </c>
    </row>
    <row r="23" spans="2:10" ht="30" x14ac:dyDescent="0.25">
      <c r="B23" s="5">
        <v>3</v>
      </c>
      <c r="C23" s="3">
        <v>8355</v>
      </c>
      <c r="D23" s="1" t="s">
        <v>15</v>
      </c>
      <c r="E23" s="2" t="s">
        <v>4</v>
      </c>
      <c r="F23" s="1">
        <f>G23/2400</f>
        <v>15.986666666666666</v>
      </c>
      <c r="G23" s="3">
        <v>38368</v>
      </c>
      <c r="H23" s="5">
        <v>122</v>
      </c>
    </row>
    <row r="24" spans="2:10" x14ac:dyDescent="0.25">
      <c r="G24" s="12">
        <f>SUM(G20:G23)</f>
        <v>50254</v>
      </c>
    </row>
    <row r="26" spans="2:10" x14ac:dyDescent="0.25">
      <c r="F26" t="s">
        <v>16</v>
      </c>
      <c r="G26" s="10">
        <f>G24+G16</f>
        <v>103135.5</v>
      </c>
    </row>
  </sheetData>
  <mergeCells count="45">
    <mergeCell ref="H20:H21"/>
    <mergeCell ref="H4:H5"/>
    <mergeCell ref="H6:H7"/>
    <mergeCell ref="H8:H9"/>
    <mergeCell ref="H10:H11"/>
    <mergeCell ref="H12:H13"/>
    <mergeCell ref="H14:H15"/>
    <mergeCell ref="F8:F9"/>
    <mergeCell ref="B18:G18"/>
    <mergeCell ref="F20:F21"/>
    <mergeCell ref="G20:G21"/>
    <mergeCell ref="C20:C21"/>
    <mergeCell ref="D20:D21"/>
    <mergeCell ref="B20:B21"/>
    <mergeCell ref="F12:F13"/>
    <mergeCell ref="G12:G13"/>
    <mergeCell ref="F14:F15"/>
    <mergeCell ref="G14:G15"/>
    <mergeCell ref="B12:B13"/>
    <mergeCell ref="C12:C13"/>
    <mergeCell ref="C14:C15"/>
    <mergeCell ref="B14:B15"/>
    <mergeCell ref="D12:D13"/>
    <mergeCell ref="C10:C11"/>
    <mergeCell ref="D10:D11"/>
    <mergeCell ref="D14:D15"/>
    <mergeCell ref="B8:B9"/>
    <mergeCell ref="C8:C9"/>
    <mergeCell ref="D8:D9"/>
    <mergeCell ref="B2:H2"/>
    <mergeCell ref="B16:F16"/>
    <mergeCell ref="C6:C7"/>
    <mergeCell ref="F6:F7"/>
    <mergeCell ref="G6:G7"/>
    <mergeCell ref="D6:D7"/>
    <mergeCell ref="B6:B7"/>
    <mergeCell ref="F4:F5"/>
    <mergeCell ref="B4:B5"/>
    <mergeCell ref="C4:C5"/>
    <mergeCell ref="D4:D5"/>
    <mergeCell ref="G4:G5"/>
    <mergeCell ref="G8:G9"/>
    <mergeCell ref="F10:F11"/>
    <mergeCell ref="G10:G11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X22"/>
  <sheetViews>
    <sheetView tabSelected="1" topLeftCell="N1" workbookViewId="0">
      <selection activeCell="V12" sqref="V12:V14"/>
    </sheetView>
  </sheetViews>
  <sheetFormatPr defaultRowHeight="15" x14ac:dyDescent="0.25"/>
  <cols>
    <col min="6" max="6" width="25" bestFit="1" customWidth="1"/>
    <col min="7" max="7" width="12.85546875" customWidth="1"/>
    <col min="8" max="9" width="13" customWidth="1"/>
    <col min="10" max="11" width="9.5703125" customWidth="1"/>
    <col min="12" max="12" width="12.140625" customWidth="1"/>
    <col min="13" max="15" width="13" customWidth="1"/>
    <col min="16" max="16" width="14.140625" customWidth="1"/>
    <col min="17" max="17" width="13.42578125" bestFit="1" customWidth="1"/>
    <col min="18" max="18" width="15.28515625" bestFit="1" customWidth="1"/>
    <col min="19" max="24" width="18.5703125" bestFit="1" customWidth="1"/>
  </cols>
  <sheetData>
    <row r="2" spans="5:16" ht="15.75" x14ac:dyDescent="0.25">
      <c r="E2" s="64" t="s">
        <v>40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5:16" ht="75" x14ac:dyDescent="0.25">
      <c r="E3" s="15" t="s">
        <v>20</v>
      </c>
      <c r="F3" s="15" t="s">
        <v>24</v>
      </c>
      <c r="G3" s="15" t="s">
        <v>39</v>
      </c>
      <c r="H3" s="15" t="s">
        <v>41</v>
      </c>
      <c r="I3" s="15" t="s">
        <v>98</v>
      </c>
      <c r="J3" s="15" t="s">
        <v>42</v>
      </c>
      <c r="K3" s="15" t="s">
        <v>100</v>
      </c>
      <c r="L3" s="15" t="s">
        <v>99</v>
      </c>
      <c r="M3" s="15" t="s">
        <v>101</v>
      </c>
      <c r="N3" s="15" t="s">
        <v>102</v>
      </c>
      <c r="O3" s="15" t="s">
        <v>103</v>
      </c>
      <c r="P3" s="15" t="s">
        <v>87</v>
      </c>
    </row>
    <row r="4" spans="5:16" x14ac:dyDescent="0.25">
      <c r="E4" s="7">
        <v>1</v>
      </c>
      <c r="F4" s="16" t="s">
        <v>25</v>
      </c>
      <c r="G4" s="7">
        <v>2009</v>
      </c>
      <c r="H4" s="24">
        <v>37674</v>
      </c>
      <c r="I4" s="24">
        <f ca="1">YEAR(TODAY())-G4</f>
        <v>13</v>
      </c>
      <c r="J4" s="7">
        <v>60</v>
      </c>
      <c r="K4" s="51">
        <v>0.1</v>
      </c>
      <c r="L4" s="11">
        <f>(1-K4)/J4</f>
        <v>1.5000000000000001E-2</v>
      </c>
      <c r="M4" s="45">
        <v>1900</v>
      </c>
      <c r="N4" s="45">
        <f ca="1">L4*I4*M4</f>
        <v>370.5</v>
      </c>
      <c r="O4" s="45">
        <f ca="1">M4-N4</f>
        <v>1529.5</v>
      </c>
      <c r="P4" s="19">
        <f ca="1">O4*H4</f>
        <v>57622383</v>
      </c>
    </row>
    <row r="5" spans="5:16" x14ac:dyDescent="0.25">
      <c r="E5" s="7">
        <v>2</v>
      </c>
      <c r="F5" s="16" t="s">
        <v>26</v>
      </c>
      <c r="G5" s="7">
        <v>2009</v>
      </c>
      <c r="H5" s="24">
        <v>37674</v>
      </c>
      <c r="I5" s="24">
        <f t="shared" ref="I5:I18" ca="1" si="0">YEAR(TODAY())-G5</f>
        <v>13</v>
      </c>
      <c r="J5" s="7">
        <v>60</v>
      </c>
      <c r="K5" s="51">
        <v>0.1</v>
      </c>
      <c r="L5" s="11">
        <f t="shared" ref="L5:L18" si="1">(1-K5)/J5</f>
        <v>1.5000000000000001E-2</v>
      </c>
      <c r="M5" s="45">
        <v>1900</v>
      </c>
      <c r="N5" s="45">
        <f t="shared" ref="N5:N18" ca="1" si="2">L5*I5*M5</f>
        <v>370.5</v>
      </c>
      <c r="O5" s="45">
        <f t="shared" ref="O5:O18" ca="1" si="3">M5-N5</f>
        <v>1529.5</v>
      </c>
      <c r="P5" s="19">
        <f t="shared" ref="P5:P18" ca="1" si="4">O5*H5</f>
        <v>57622383</v>
      </c>
    </row>
    <row r="6" spans="5:16" x14ac:dyDescent="0.25">
      <c r="E6" s="7">
        <v>3</v>
      </c>
      <c r="F6" s="16" t="s">
        <v>27</v>
      </c>
      <c r="G6" s="7">
        <v>2009</v>
      </c>
      <c r="H6" s="24">
        <v>36543</v>
      </c>
      <c r="I6" s="24">
        <f t="shared" ca="1" si="0"/>
        <v>13</v>
      </c>
      <c r="J6" s="7">
        <v>60</v>
      </c>
      <c r="K6" s="51">
        <v>0.1</v>
      </c>
      <c r="L6" s="11">
        <f t="shared" si="1"/>
        <v>1.5000000000000001E-2</v>
      </c>
      <c r="M6" s="45">
        <v>2700</v>
      </c>
      <c r="N6" s="45">
        <f t="shared" ca="1" si="2"/>
        <v>526.5</v>
      </c>
      <c r="O6" s="45">
        <f t="shared" ca="1" si="3"/>
        <v>2173.5</v>
      </c>
      <c r="P6" s="19">
        <f t="shared" ca="1" si="4"/>
        <v>79426210.5</v>
      </c>
    </row>
    <row r="7" spans="5:16" x14ac:dyDescent="0.25">
      <c r="E7" s="7">
        <v>4</v>
      </c>
      <c r="F7" s="16" t="s">
        <v>28</v>
      </c>
      <c r="G7" s="7">
        <v>2009</v>
      </c>
      <c r="H7" s="24">
        <v>27717</v>
      </c>
      <c r="I7" s="24">
        <f t="shared" ca="1" si="0"/>
        <v>13</v>
      </c>
      <c r="J7" s="7">
        <v>60</v>
      </c>
      <c r="K7" s="51">
        <v>0.1</v>
      </c>
      <c r="L7" s="11">
        <f t="shared" si="1"/>
        <v>1.5000000000000001E-2</v>
      </c>
      <c r="M7" s="45">
        <v>2700</v>
      </c>
      <c r="N7" s="45">
        <f t="shared" ca="1" si="2"/>
        <v>526.5</v>
      </c>
      <c r="O7" s="45">
        <f t="shared" ca="1" si="3"/>
        <v>2173.5</v>
      </c>
      <c r="P7" s="19">
        <f t="shared" ca="1" si="4"/>
        <v>60242899.5</v>
      </c>
    </row>
    <row r="8" spans="5:16" x14ac:dyDescent="0.25">
      <c r="E8" s="7">
        <v>5</v>
      </c>
      <c r="F8" s="16" t="s">
        <v>29</v>
      </c>
      <c r="G8" s="7">
        <v>2009</v>
      </c>
      <c r="H8" s="24">
        <v>23358</v>
      </c>
      <c r="I8" s="24">
        <f t="shared" ca="1" si="0"/>
        <v>13</v>
      </c>
      <c r="J8" s="7">
        <v>60</v>
      </c>
      <c r="K8" s="51">
        <v>0.1</v>
      </c>
      <c r="L8" s="11">
        <f t="shared" si="1"/>
        <v>1.5000000000000001E-2</v>
      </c>
      <c r="M8" s="45">
        <v>2700</v>
      </c>
      <c r="N8" s="45">
        <f t="shared" ca="1" si="2"/>
        <v>526.5</v>
      </c>
      <c r="O8" s="45">
        <f t="shared" ca="1" si="3"/>
        <v>2173.5</v>
      </c>
      <c r="P8" s="19">
        <f t="shared" ca="1" si="4"/>
        <v>50768613</v>
      </c>
    </row>
    <row r="9" spans="5:16" x14ac:dyDescent="0.25">
      <c r="E9" s="7">
        <v>6</v>
      </c>
      <c r="F9" s="16" t="s">
        <v>30</v>
      </c>
      <c r="G9" s="7">
        <v>2009</v>
      </c>
      <c r="H9" s="24">
        <v>23777</v>
      </c>
      <c r="I9" s="24">
        <f t="shared" ca="1" si="0"/>
        <v>13</v>
      </c>
      <c r="J9" s="7">
        <v>60</v>
      </c>
      <c r="K9" s="51">
        <v>0.1</v>
      </c>
      <c r="L9" s="11">
        <f t="shared" si="1"/>
        <v>1.5000000000000001E-2</v>
      </c>
      <c r="M9" s="45">
        <v>2700</v>
      </c>
      <c r="N9" s="45">
        <f t="shared" ca="1" si="2"/>
        <v>526.5</v>
      </c>
      <c r="O9" s="45">
        <f t="shared" ca="1" si="3"/>
        <v>2173.5</v>
      </c>
      <c r="P9" s="19">
        <f t="shared" ca="1" si="4"/>
        <v>51679309.5</v>
      </c>
    </row>
    <row r="10" spans="5:16" x14ac:dyDescent="0.25">
      <c r="E10" s="7">
        <v>7</v>
      </c>
      <c r="F10" s="16" t="s">
        <v>31</v>
      </c>
      <c r="G10" s="7">
        <v>2009</v>
      </c>
      <c r="H10" s="24">
        <v>20344</v>
      </c>
      <c r="I10" s="24">
        <f t="shared" ca="1" si="0"/>
        <v>13</v>
      </c>
      <c r="J10" s="7">
        <v>60</v>
      </c>
      <c r="K10" s="51">
        <v>0.1</v>
      </c>
      <c r="L10" s="11">
        <f t="shared" si="1"/>
        <v>1.5000000000000001E-2</v>
      </c>
      <c r="M10" s="45">
        <v>2700</v>
      </c>
      <c r="N10" s="45">
        <f t="shared" ca="1" si="2"/>
        <v>526.5</v>
      </c>
      <c r="O10" s="45">
        <f t="shared" ca="1" si="3"/>
        <v>2173.5</v>
      </c>
      <c r="P10" s="19">
        <f t="shared" ca="1" si="4"/>
        <v>44217684</v>
      </c>
    </row>
    <row r="11" spans="5:16" x14ac:dyDescent="0.25">
      <c r="E11" s="7">
        <v>8</v>
      </c>
      <c r="F11" s="16" t="s">
        <v>33</v>
      </c>
      <c r="G11" s="7">
        <v>2009</v>
      </c>
      <c r="H11" s="24">
        <v>20344</v>
      </c>
      <c r="I11" s="24">
        <f t="shared" ca="1" si="0"/>
        <v>13</v>
      </c>
      <c r="J11" s="7">
        <v>60</v>
      </c>
      <c r="K11" s="51">
        <v>0.1</v>
      </c>
      <c r="L11" s="11">
        <f t="shared" si="1"/>
        <v>1.5000000000000001E-2</v>
      </c>
      <c r="M11" s="45">
        <v>2700</v>
      </c>
      <c r="N11" s="45">
        <f t="shared" ca="1" si="2"/>
        <v>526.5</v>
      </c>
      <c r="O11" s="45">
        <f t="shared" ca="1" si="3"/>
        <v>2173.5</v>
      </c>
      <c r="P11" s="19">
        <f t="shared" ca="1" si="4"/>
        <v>44217684</v>
      </c>
    </row>
    <row r="12" spans="5:16" x14ac:dyDescent="0.25">
      <c r="E12" s="7">
        <v>9</v>
      </c>
      <c r="F12" s="16" t="s">
        <v>34</v>
      </c>
      <c r="G12" s="7">
        <v>2009</v>
      </c>
      <c r="H12" s="24">
        <v>20344</v>
      </c>
      <c r="I12" s="24">
        <f t="shared" ca="1" si="0"/>
        <v>13</v>
      </c>
      <c r="J12" s="7">
        <v>60</v>
      </c>
      <c r="K12" s="51">
        <v>0.1</v>
      </c>
      <c r="L12" s="11">
        <f t="shared" si="1"/>
        <v>1.5000000000000001E-2</v>
      </c>
      <c r="M12" s="45">
        <v>2700</v>
      </c>
      <c r="N12" s="45">
        <f t="shared" ca="1" si="2"/>
        <v>526.5</v>
      </c>
      <c r="O12" s="45">
        <f t="shared" ca="1" si="3"/>
        <v>2173.5</v>
      </c>
      <c r="P12" s="19">
        <f t="shared" ca="1" si="4"/>
        <v>44217684</v>
      </c>
    </row>
    <row r="13" spans="5:16" x14ac:dyDescent="0.25">
      <c r="E13" s="7">
        <v>10</v>
      </c>
      <c r="F13" s="16" t="s">
        <v>35</v>
      </c>
      <c r="G13" s="7">
        <v>2009</v>
      </c>
      <c r="H13" s="24">
        <v>20344</v>
      </c>
      <c r="I13" s="24">
        <f t="shared" ca="1" si="0"/>
        <v>13</v>
      </c>
      <c r="J13" s="7">
        <v>60</v>
      </c>
      <c r="K13" s="51">
        <v>0.1</v>
      </c>
      <c r="L13" s="11">
        <f t="shared" si="1"/>
        <v>1.5000000000000001E-2</v>
      </c>
      <c r="M13" s="45">
        <v>2700</v>
      </c>
      <c r="N13" s="45">
        <f t="shared" ca="1" si="2"/>
        <v>526.5</v>
      </c>
      <c r="O13" s="45">
        <f t="shared" ca="1" si="3"/>
        <v>2173.5</v>
      </c>
      <c r="P13" s="19">
        <f t="shared" ca="1" si="4"/>
        <v>44217684</v>
      </c>
    </row>
    <row r="14" spans="5:16" x14ac:dyDescent="0.25">
      <c r="E14" s="7">
        <v>11</v>
      </c>
      <c r="F14" s="16" t="s">
        <v>36</v>
      </c>
      <c r="G14" s="7">
        <v>2009</v>
      </c>
      <c r="H14" s="24">
        <v>20344</v>
      </c>
      <c r="I14" s="24">
        <f t="shared" ca="1" si="0"/>
        <v>13</v>
      </c>
      <c r="J14" s="7">
        <v>60</v>
      </c>
      <c r="K14" s="51">
        <v>0.1</v>
      </c>
      <c r="L14" s="11">
        <f t="shared" si="1"/>
        <v>1.5000000000000001E-2</v>
      </c>
      <c r="M14" s="45">
        <v>2700</v>
      </c>
      <c r="N14" s="45">
        <f t="shared" ca="1" si="2"/>
        <v>526.5</v>
      </c>
      <c r="O14" s="45">
        <f t="shared" ca="1" si="3"/>
        <v>2173.5</v>
      </c>
      <c r="P14" s="19">
        <f t="shared" ca="1" si="4"/>
        <v>44217684</v>
      </c>
    </row>
    <row r="15" spans="5:16" x14ac:dyDescent="0.25">
      <c r="E15" s="7">
        <v>12</v>
      </c>
      <c r="F15" s="16" t="s">
        <v>37</v>
      </c>
      <c r="G15" s="7">
        <v>2009</v>
      </c>
      <c r="H15" s="24">
        <v>20344</v>
      </c>
      <c r="I15" s="24">
        <f t="shared" ca="1" si="0"/>
        <v>13</v>
      </c>
      <c r="J15" s="7">
        <v>60</v>
      </c>
      <c r="K15" s="51">
        <v>0.1</v>
      </c>
      <c r="L15" s="11">
        <f t="shared" si="1"/>
        <v>1.5000000000000001E-2</v>
      </c>
      <c r="M15" s="45">
        <v>2700</v>
      </c>
      <c r="N15" s="45">
        <f t="shared" ca="1" si="2"/>
        <v>526.5</v>
      </c>
      <c r="O15" s="45">
        <f t="shared" ca="1" si="3"/>
        <v>2173.5</v>
      </c>
      <c r="P15" s="19">
        <f t="shared" ca="1" si="4"/>
        <v>44217684</v>
      </c>
    </row>
    <row r="16" spans="5:16" x14ac:dyDescent="0.25">
      <c r="E16" s="7">
        <v>13</v>
      </c>
      <c r="F16" s="16" t="s">
        <v>38</v>
      </c>
      <c r="G16" s="7">
        <v>2009</v>
      </c>
      <c r="H16" s="24">
        <v>20344</v>
      </c>
      <c r="I16" s="24">
        <f t="shared" ca="1" si="0"/>
        <v>13</v>
      </c>
      <c r="J16" s="7">
        <v>60</v>
      </c>
      <c r="K16" s="51">
        <v>0.1</v>
      </c>
      <c r="L16" s="11">
        <f t="shared" si="1"/>
        <v>1.5000000000000001E-2</v>
      </c>
      <c r="M16" s="45">
        <v>2700</v>
      </c>
      <c r="N16" s="45">
        <f t="shared" ca="1" si="2"/>
        <v>526.5</v>
      </c>
      <c r="O16" s="45">
        <f t="shared" ca="1" si="3"/>
        <v>2173.5</v>
      </c>
      <c r="P16" s="19">
        <f t="shared" ca="1" si="4"/>
        <v>44217684</v>
      </c>
    </row>
    <row r="17" spans="5:24" x14ac:dyDescent="0.25">
      <c r="E17" s="11">
        <v>14</v>
      </c>
      <c r="F17" s="16" t="s">
        <v>32</v>
      </c>
      <c r="G17" s="11">
        <v>2009</v>
      </c>
      <c r="H17" s="24">
        <v>20344</v>
      </c>
      <c r="I17" s="24">
        <f t="shared" ref="I17" ca="1" si="5">YEAR(TODAY())-G17</f>
        <v>13</v>
      </c>
      <c r="J17" s="11">
        <v>60</v>
      </c>
      <c r="K17" s="51">
        <v>0.1</v>
      </c>
      <c r="L17" s="11">
        <f t="shared" ref="L17" si="6">(1-K17)/J17</f>
        <v>1.5000000000000001E-2</v>
      </c>
      <c r="M17" s="45">
        <v>1000</v>
      </c>
      <c r="N17" s="45">
        <f t="shared" ref="N17" ca="1" si="7">L17*I17*M17</f>
        <v>195</v>
      </c>
      <c r="O17" s="45">
        <f t="shared" ref="O17" ca="1" si="8">M17-N17</f>
        <v>805</v>
      </c>
      <c r="P17" s="19">
        <f t="shared" ref="P17" ca="1" si="9">O17*H17</f>
        <v>16376920</v>
      </c>
    </row>
    <row r="18" spans="5:24" x14ac:dyDescent="0.25">
      <c r="E18" s="7">
        <v>15</v>
      </c>
      <c r="F18" s="16" t="s">
        <v>43</v>
      </c>
      <c r="G18" s="7">
        <v>2009</v>
      </c>
      <c r="H18" s="24">
        <f>15*80</f>
        <v>1200</v>
      </c>
      <c r="I18" s="24">
        <f t="shared" ca="1" si="0"/>
        <v>13</v>
      </c>
      <c r="J18" s="7">
        <v>60</v>
      </c>
      <c r="K18" s="51">
        <v>0.1</v>
      </c>
      <c r="L18" s="11">
        <f t="shared" si="1"/>
        <v>1.5000000000000001E-2</v>
      </c>
      <c r="M18" s="45">
        <v>500</v>
      </c>
      <c r="N18" s="45">
        <f t="shared" ca="1" si="2"/>
        <v>97.5</v>
      </c>
      <c r="O18" s="45">
        <f t="shared" ca="1" si="3"/>
        <v>402.5</v>
      </c>
      <c r="P18" s="19">
        <f t="shared" ca="1" si="4"/>
        <v>483000</v>
      </c>
    </row>
    <row r="19" spans="5:24" s="17" customFormat="1" x14ac:dyDescent="0.25">
      <c r="E19" s="61" t="s">
        <v>23</v>
      </c>
      <c r="F19" s="62"/>
      <c r="G19" s="63"/>
      <c r="H19" s="8">
        <f>SUM(H4:H18)</f>
        <v>350695</v>
      </c>
      <c r="I19" s="61"/>
      <c r="J19" s="62"/>
      <c r="K19" s="62"/>
      <c r="L19" s="62"/>
      <c r="M19" s="62"/>
      <c r="N19" s="62"/>
      <c r="O19" s="63"/>
      <c r="P19" s="20">
        <f ca="1">SUM(P4:P16)</f>
        <v>666885586.5</v>
      </c>
      <c r="Q19" s="21">
        <f>(550*H19)-(1200*550)</f>
        <v>192222250</v>
      </c>
      <c r="R19" s="22">
        <f>Land!K5</f>
        <v>680058750</v>
      </c>
      <c r="S19" s="23">
        <f>'P&amp;M'!AO68</f>
        <v>225871144.79474008</v>
      </c>
      <c r="T19" s="47">
        <f ca="1">P19+R19+S19+Q19</f>
        <v>1765037731.2947402</v>
      </c>
      <c r="U19" s="23">
        <f ca="1">ROUND(T19,-5)</f>
        <v>1765000000</v>
      </c>
      <c r="V19" s="23"/>
      <c r="W19" s="23">
        <f ca="1">U19*0.75</f>
        <v>1323750000</v>
      </c>
    </row>
    <row r="21" spans="5:24" x14ac:dyDescent="0.25">
      <c r="H21">
        <f>H19-H18</f>
        <v>349495</v>
      </c>
      <c r="I21">
        <f>H21*550</f>
        <v>192222250</v>
      </c>
      <c r="Q21">
        <v>38368</v>
      </c>
      <c r="R21">
        <f>ROUND(Q21*9100,-5)</f>
        <v>349100000</v>
      </c>
      <c r="W21" s="49">
        <f ca="1">U19+R21</f>
        <v>2114100000</v>
      </c>
      <c r="X21" s="49">
        <f ca="1">W21*0.85</f>
        <v>1796985000</v>
      </c>
    </row>
    <row r="22" spans="5:24" x14ac:dyDescent="0.25">
      <c r="U22" s="49"/>
    </row>
  </sheetData>
  <mergeCells count="3">
    <mergeCell ref="E19:G19"/>
    <mergeCell ref="E2:P2"/>
    <mergeCell ref="I19:O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71"/>
  <sheetViews>
    <sheetView workbookViewId="0">
      <pane ySplit="3" topLeftCell="A67" activePane="bottomLeft" state="frozen"/>
      <selection pane="bottomLeft" activeCell="AO70" sqref="AO70"/>
    </sheetView>
  </sheetViews>
  <sheetFormatPr defaultRowHeight="15" outlineLevelCol="1" x14ac:dyDescent="0.25"/>
  <cols>
    <col min="2" max="2" width="9.28515625" bestFit="1" customWidth="1"/>
    <col min="3" max="3" width="17.7109375" bestFit="1" customWidth="1"/>
    <col min="4" max="4" width="15" customWidth="1"/>
    <col min="5" max="5" width="10.5703125" customWidth="1"/>
    <col min="6" max="6" width="12.42578125" customWidth="1"/>
    <col min="7" max="7" width="10.5703125" customWidth="1"/>
    <col min="8" max="8" width="0" hidden="1" customWidth="1"/>
    <col min="9" max="9" width="19.140625" hidden="1" customWidth="1"/>
    <col min="10" max="10" width="14.5703125" hidden="1" customWidth="1" outlineLevel="1"/>
    <col min="11" max="30" width="0" hidden="1" customWidth="1" outlineLevel="1"/>
    <col min="31" max="31" width="11.5703125" hidden="1" customWidth="1" outlineLevel="1"/>
    <col min="32" max="33" width="0" hidden="1" customWidth="1" outlineLevel="1"/>
    <col min="34" max="34" width="11.140625" hidden="1" customWidth="1" outlineLevel="1"/>
    <col min="35" max="35" width="10" hidden="1" customWidth="1" outlineLevel="1"/>
    <col min="36" max="36" width="13.5703125" customWidth="1" collapsed="1"/>
    <col min="37" max="37" width="15.85546875" bestFit="1" customWidth="1" collapsed="1"/>
    <col min="38" max="38" width="14.5703125" customWidth="1" collapsed="1"/>
    <col min="39" max="39" width="15.42578125" customWidth="1"/>
    <col min="40" max="40" width="14" customWidth="1"/>
    <col min="41" max="41" width="13.85546875" customWidth="1"/>
  </cols>
  <sheetData>
    <row r="2" spans="2:42" ht="15.75" x14ac:dyDescent="0.25">
      <c r="B2" s="64" t="s">
        <v>83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</row>
    <row r="3" spans="2:42" ht="60" x14ac:dyDescent="0.25">
      <c r="B3" s="15" t="s">
        <v>20</v>
      </c>
      <c r="C3" s="15" t="s">
        <v>44</v>
      </c>
      <c r="D3" s="15" t="s">
        <v>80</v>
      </c>
      <c r="E3" s="15" t="s">
        <v>81</v>
      </c>
      <c r="F3" s="15" t="s">
        <v>82</v>
      </c>
      <c r="G3" s="15" t="s">
        <v>42</v>
      </c>
      <c r="H3" s="15" t="s">
        <v>45</v>
      </c>
      <c r="I3" s="15" t="s">
        <v>46</v>
      </c>
      <c r="J3" s="15" t="s">
        <v>47</v>
      </c>
      <c r="K3" s="15" t="s">
        <v>48</v>
      </c>
      <c r="L3" s="15" t="s">
        <v>49</v>
      </c>
      <c r="M3" s="15" t="s">
        <v>50</v>
      </c>
      <c r="N3" s="15" t="s">
        <v>51</v>
      </c>
      <c r="O3" s="15" t="s">
        <v>52</v>
      </c>
      <c r="P3" s="15" t="s">
        <v>53</v>
      </c>
      <c r="Q3" s="15" t="s">
        <v>54</v>
      </c>
      <c r="R3" s="15" t="s">
        <v>55</v>
      </c>
      <c r="S3" s="15" t="s">
        <v>56</v>
      </c>
      <c r="T3" s="15" t="s">
        <v>57</v>
      </c>
      <c r="U3" s="15" t="s">
        <v>58</v>
      </c>
      <c r="V3" s="15" t="s">
        <v>59</v>
      </c>
      <c r="W3" s="15" t="s">
        <v>60</v>
      </c>
      <c r="X3" s="15" t="s">
        <v>61</v>
      </c>
      <c r="Y3" s="15" t="s">
        <v>62</v>
      </c>
      <c r="Z3" s="15" t="s">
        <v>63</v>
      </c>
      <c r="AA3" s="15" t="s">
        <v>64</v>
      </c>
      <c r="AB3" s="15" t="s">
        <v>65</v>
      </c>
      <c r="AC3" s="15" t="s">
        <v>66</v>
      </c>
      <c r="AD3" s="15" t="s">
        <v>67</v>
      </c>
      <c r="AE3" s="15" t="s">
        <v>68</v>
      </c>
      <c r="AF3" s="15" t="s">
        <v>69</v>
      </c>
      <c r="AG3" s="15" t="s">
        <v>70</v>
      </c>
      <c r="AH3" s="15" t="s">
        <v>71</v>
      </c>
      <c r="AI3" s="15" t="s">
        <v>72</v>
      </c>
      <c r="AJ3" s="15" t="s">
        <v>74</v>
      </c>
      <c r="AK3" s="15" t="s">
        <v>73</v>
      </c>
      <c r="AL3" s="15" t="s">
        <v>86</v>
      </c>
      <c r="AM3" s="15" t="s">
        <v>74</v>
      </c>
      <c r="AN3" s="15" t="s">
        <v>84</v>
      </c>
      <c r="AO3" s="15" t="s">
        <v>85</v>
      </c>
    </row>
    <row r="4" spans="2:42" x14ac:dyDescent="0.25">
      <c r="B4" s="27">
        <v>1</v>
      </c>
      <c r="C4" s="36" t="s">
        <v>75</v>
      </c>
      <c r="D4" s="28">
        <v>39267</v>
      </c>
      <c r="E4" s="28">
        <v>44621</v>
      </c>
      <c r="F4" s="44">
        <f>(E4-D4)/365</f>
        <v>14.668493150684931</v>
      </c>
      <c r="G4" s="29">
        <v>5</v>
      </c>
      <c r="H4" s="30">
        <v>1</v>
      </c>
      <c r="I4" s="31">
        <v>97478</v>
      </c>
      <c r="J4" s="30">
        <v>63.16</v>
      </c>
      <c r="K4" s="32">
        <v>40</v>
      </c>
      <c r="L4" s="31">
        <v>51287.612150136993</v>
      </c>
      <c r="M4" s="31">
        <v>18894.356316110472</v>
      </c>
      <c r="N4" s="31">
        <v>6960.6808668550984</v>
      </c>
      <c r="O4" s="31">
        <v>2564.3148313494185</v>
      </c>
      <c r="P4" s="31">
        <v>944.69358386912586</v>
      </c>
      <c r="Q4" s="31">
        <v>348.02511629738603</v>
      </c>
      <c r="R4" s="31">
        <v>128.21245284395704</v>
      </c>
      <c r="S4" s="31">
        <v>47.233467627713779</v>
      </c>
      <c r="T4" s="31">
        <v>17.400809474049758</v>
      </c>
      <c r="U4" s="31">
        <v>0</v>
      </c>
      <c r="V4" s="31">
        <f t="shared" ref="V4:V9" si="0">+T4+U4-Z4</f>
        <v>6.4104582102399323</v>
      </c>
      <c r="W4" s="31">
        <v>97349.78754715604</v>
      </c>
      <c r="X4" s="31">
        <v>80.97898521624326</v>
      </c>
      <c r="Y4" s="31">
        <f>+S4*J4%</f>
        <v>29.832658153664021</v>
      </c>
      <c r="Z4" s="31">
        <f>+T4*J4%</f>
        <v>10.990351263809826</v>
      </c>
      <c r="AA4" s="31">
        <f>+V4*J4/100</f>
        <v>4.0488454055875414</v>
      </c>
      <c r="AB4" s="31">
        <f t="shared" ref="AB4:AB9" si="1">+V4-AA4</f>
        <v>2.361612804652391</v>
      </c>
      <c r="AC4" s="31">
        <f>AB4*J4/100*0</f>
        <v>0</v>
      </c>
      <c r="AD4" s="31">
        <f t="shared" ref="AD4:AD10" si="2">AB4-AC4</f>
        <v>2.361612804652391</v>
      </c>
      <c r="AE4" s="31">
        <v>0</v>
      </c>
      <c r="AF4" s="31">
        <f t="shared" ref="AF4:AF10" si="3">AD4*J4/100</f>
        <v>1.49159464741845</v>
      </c>
      <c r="AG4" s="31">
        <f t="shared" ref="AG4:AG10" si="4">AD4-AF4</f>
        <v>0.87001815723394094</v>
      </c>
      <c r="AH4" s="31">
        <v>0</v>
      </c>
      <c r="AI4" s="31">
        <f t="shared" ref="AI4:AI15" si="5">AG4*J4/100</f>
        <v>0.54950346810895712</v>
      </c>
      <c r="AJ4" s="43">
        <f t="shared" ref="AJ4:AJ35" si="6">(1-5%)/G4</f>
        <v>0.19</v>
      </c>
      <c r="AK4" s="38">
        <f t="shared" ref="AK4:AK35" si="7">I4+U4+AE4+AH4</f>
        <v>97478</v>
      </c>
      <c r="AL4" s="39">
        <f t="shared" ref="AL4:AL15" si="8">AG4-AI4</f>
        <v>0.32051468912498382</v>
      </c>
      <c r="AM4" s="38">
        <v>0</v>
      </c>
      <c r="AN4" s="38">
        <v>0</v>
      </c>
      <c r="AO4" s="38">
        <v>0</v>
      </c>
      <c r="AP4" s="25">
        <f t="shared" ref="AP4:AP35" si="9">AL4-AO4</f>
        <v>0.32051468912498382</v>
      </c>
    </row>
    <row r="5" spans="2:42" x14ac:dyDescent="0.25">
      <c r="B5" s="27">
        <v>2</v>
      </c>
      <c r="C5" s="36" t="s">
        <v>75</v>
      </c>
      <c r="D5" s="28">
        <v>39539</v>
      </c>
      <c r="E5" s="28">
        <v>44621</v>
      </c>
      <c r="F5" s="44">
        <f t="shared" ref="F5:F67" si="10">(E5-D5)/365</f>
        <v>13.923287671232877</v>
      </c>
      <c r="G5" s="29">
        <v>5</v>
      </c>
      <c r="H5" s="30">
        <v>1</v>
      </c>
      <c r="I5" s="31">
        <v>414157</v>
      </c>
      <c r="J5" s="30">
        <v>63.16</v>
      </c>
      <c r="K5" s="32">
        <v>40</v>
      </c>
      <c r="L5" s="31">
        <v>0</v>
      </c>
      <c r="M5" s="31">
        <v>152575.43880000003</v>
      </c>
      <c r="N5" s="31">
        <v>74192.791653920023</v>
      </c>
      <c r="O5" s="31">
        <v>27332.624445304144</v>
      </c>
      <c r="P5" s="31">
        <v>10069.338845650047</v>
      </c>
      <c r="Q5" s="31">
        <v>3709.5444307374783</v>
      </c>
      <c r="R5" s="31">
        <v>1366.5961682836873</v>
      </c>
      <c r="S5" s="31">
        <v>503.45402839571045</v>
      </c>
      <c r="T5" s="31">
        <v>185.47246406097975</v>
      </c>
      <c r="U5" s="31">
        <v>0</v>
      </c>
      <c r="V5" s="31">
        <f t="shared" si="0"/>
        <v>68.328055760064956</v>
      </c>
      <c r="W5" s="31">
        <v>412790.40383171634</v>
      </c>
      <c r="X5" s="31">
        <v>863.1421398879769</v>
      </c>
      <c r="Y5" s="31">
        <f>+S5*J5%</f>
        <v>317.98156433473071</v>
      </c>
      <c r="Z5" s="31">
        <f>+T5*J5%</f>
        <v>117.14440830091479</v>
      </c>
      <c r="AA5" s="31">
        <f>+V5*J5/100</f>
        <v>43.156000018057021</v>
      </c>
      <c r="AB5" s="31">
        <f t="shared" si="1"/>
        <v>25.172055742007934</v>
      </c>
      <c r="AC5" s="31">
        <f>AB5*J5/100*0</f>
        <v>0</v>
      </c>
      <c r="AD5" s="31">
        <f t="shared" si="2"/>
        <v>25.172055742007934</v>
      </c>
      <c r="AE5" s="31">
        <v>0</v>
      </c>
      <c r="AF5" s="31">
        <f t="shared" si="3"/>
        <v>15.898670406652212</v>
      </c>
      <c r="AG5" s="31">
        <f t="shared" si="4"/>
        <v>9.273385335355723</v>
      </c>
      <c r="AH5" s="31">
        <v>0</v>
      </c>
      <c r="AI5" s="31">
        <f t="shared" si="5"/>
        <v>5.857070177810674</v>
      </c>
      <c r="AJ5" s="43">
        <f t="shared" si="6"/>
        <v>0.19</v>
      </c>
      <c r="AK5" s="38">
        <f t="shared" si="7"/>
        <v>414157</v>
      </c>
      <c r="AL5" s="39">
        <f t="shared" si="8"/>
        <v>3.416315157545049</v>
      </c>
      <c r="AM5" s="38">
        <f t="shared" ref="AM5:AM28" si="11">AJ5*AK5*F5</f>
        <v>1095621.1398904109</v>
      </c>
      <c r="AN5" s="38">
        <f t="shared" ref="AN5:AN36" si="12">MAX(AK5-AM5,0)</f>
        <v>0</v>
      </c>
      <c r="AO5" s="38">
        <f t="shared" ref="AO5:AO36" si="13">IF(AN5&lt;=5%*I5,I5*5%,AN5*(1-10%))</f>
        <v>20707.850000000002</v>
      </c>
      <c r="AP5" s="25">
        <f t="shared" si="9"/>
        <v>-20704.433684842457</v>
      </c>
    </row>
    <row r="6" spans="2:42" x14ac:dyDescent="0.25">
      <c r="B6" s="27">
        <v>3</v>
      </c>
      <c r="C6" s="36" t="s">
        <v>75</v>
      </c>
      <c r="D6" s="28">
        <v>39904</v>
      </c>
      <c r="E6" s="28">
        <v>44621</v>
      </c>
      <c r="F6" s="44">
        <f t="shared" si="10"/>
        <v>12.923287671232877</v>
      </c>
      <c r="G6" s="29">
        <v>5</v>
      </c>
      <c r="H6" s="30">
        <v>1</v>
      </c>
      <c r="I6" s="31">
        <v>42500</v>
      </c>
      <c r="J6" s="30">
        <v>63.16</v>
      </c>
      <c r="K6" s="32">
        <v>40</v>
      </c>
      <c r="L6" s="31">
        <v>0</v>
      </c>
      <c r="M6" s="31">
        <v>0</v>
      </c>
      <c r="N6" s="31">
        <v>42500</v>
      </c>
      <c r="O6" s="31">
        <v>15657.000000000004</v>
      </c>
      <c r="P6" s="31">
        <v>5768.0388000000021</v>
      </c>
      <c r="Q6" s="31">
        <v>2124.9454939200009</v>
      </c>
      <c r="R6" s="31">
        <v>782.82991996012856</v>
      </c>
      <c r="S6" s="31">
        <v>288.39454251331142</v>
      </c>
      <c r="T6" s="31">
        <v>106.24454946190394</v>
      </c>
      <c r="U6" s="31">
        <v>0</v>
      </c>
      <c r="V6" s="31">
        <f t="shared" si="0"/>
        <v>39.140492021765425</v>
      </c>
      <c r="W6" s="31">
        <v>41717.170080039868</v>
      </c>
      <c r="X6" s="31">
        <v>494.43537744681714</v>
      </c>
      <c r="Y6" s="31">
        <f>+S6*J6%</f>
        <v>182.14999305140748</v>
      </c>
      <c r="Z6" s="31">
        <f>+T6*J6%</f>
        <v>67.104057440138519</v>
      </c>
      <c r="AA6" s="31">
        <f>+V6*J6/100</f>
        <v>24.721134760947042</v>
      </c>
      <c r="AB6" s="31">
        <f t="shared" si="1"/>
        <v>14.419357260818384</v>
      </c>
      <c r="AC6" s="31">
        <f>AB6*J6/100*0</f>
        <v>0</v>
      </c>
      <c r="AD6" s="31">
        <f t="shared" si="2"/>
        <v>14.419357260818384</v>
      </c>
      <c r="AE6" s="31">
        <v>0</v>
      </c>
      <c r="AF6" s="31">
        <f t="shared" si="3"/>
        <v>9.1072660459328905</v>
      </c>
      <c r="AG6" s="31">
        <f t="shared" si="4"/>
        <v>5.3120912148854931</v>
      </c>
      <c r="AH6" s="31">
        <v>0</v>
      </c>
      <c r="AI6" s="31">
        <f t="shared" si="5"/>
        <v>3.3551168113216772</v>
      </c>
      <c r="AJ6" s="43">
        <f t="shared" si="6"/>
        <v>0.19</v>
      </c>
      <c r="AK6" s="38">
        <f t="shared" si="7"/>
        <v>42500</v>
      </c>
      <c r="AL6" s="39">
        <f t="shared" si="8"/>
        <v>1.9569744035638159</v>
      </c>
      <c r="AM6" s="38">
        <f t="shared" si="11"/>
        <v>104355.54794520549</v>
      </c>
      <c r="AN6" s="38">
        <f t="shared" si="12"/>
        <v>0</v>
      </c>
      <c r="AO6" s="38">
        <f t="shared" si="13"/>
        <v>2125</v>
      </c>
      <c r="AP6" s="25">
        <f t="shared" si="9"/>
        <v>-2123.0430255964361</v>
      </c>
    </row>
    <row r="7" spans="2:42" x14ac:dyDescent="0.25">
      <c r="B7" s="27">
        <v>4</v>
      </c>
      <c r="C7" s="36" t="s">
        <v>75</v>
      </c>
      <c r="D7" s="28">
        <v>40602</v>
      </c>
      <c r="E7" s="28">
        <v>44621</v>
      </c>
      <c r="F7" s="44">
        <f t="shared" si="10"/>
        <v>11.010958904109589</v>
      </c>
      <c r="G7" s="29">
        <v>5</v>
      </c>
      <c r="H7" s="30">
        <v>1</v>
      </c>
      <c r="I7" s="31">
        <v>7284074</v>
      </c>
      <c r="J7" s="30">
        <v>63.16</v>
      </c>
      <c r="K7" s="32">
        <v>40</v>
      </c>
      <c r="L7" s="31">
        <v>0</v>
      </c>
      <c r="M7" s="31">
        <v>0</v>
      </c>
      <c r="N7" s="31">
        <v>0</v>
      </c>
      <c r="O7" s="31">
        <v>6897993.3142728768</v>
      </c>
      <c r="P7" s="31">
        <v>2541220.7369781286</v>
      </c>
      <c r="Q7" s="31">
        <v>936185.71950274264</v>
      </c>
      <c r="R7" s="31">
        <v>344890.81906481041</v>
      </c>
      <c r="S7" s="31">
        <v>127057.77774347618</v>
      </c>
      <c r="T7" s="31">
        <v>46808.085320696628</v>
      </c>
      <c r="U7" s="31">
        <v>0</v>
      </c>
      <c r="V7" s="31">
        <f t="shared" si="0"/>
        <v>17244.09863214464</v>
      </c>
      <c r="W7" s="31">
        <v>6939183.1809351891</v>
      </c>
      <c r="X7" s="31">
        <v>217833.04132133423</v>
      </c>
      <c r="Y7" s="31">
        <f>+S7*J7%</f>
        <v>80249.692422779553</v>
      </c>
      <c r="Z7" s="31">
        <f>+T7*J7%</f>
        <v>29563.986688551988</v>
      </c>
      <c r="AA7" s="31">
        <f>+V7*J7/100</f>
        <v>10891.372696062555</v>
      </c>
      <c r="AB7" s="31">
        <f t="shared" si="1"/>
        <v>6352.7259360820844</v>
      </c>
      <c r="AC7" s="31">
        <f>AB7*J7/100*0</f>
        <v>0</v>
      </c>
      <c r="AD7" s="31">
        <f t="shared" si="2"/>
        <v>6352.7259360820844</v>
      </c>
      <c r="AE7" s="31">
        <v>0</v>
      </c>
      <c r="AF7" s="31">
        <f t="shared" si="3"/>
        <v>4012.3817012294444</v>
      </c>
      <c r="AG7" s="31">
        <f t="shared" si="4"/>
        <v>2340.3442348526401</v>
      </c>
      <c r="AH7" s="31">
        <v>0</v>
      </c>
      <c r="AI7" s="31">
        <f t="shared" si="5"/>
        <v>1478.1614187329274</v>
      </c>
      <c r="AJ7" s="43">
        <f t="shared" si="6"/>
        <v>0.19</v>
      </c>
      <c r="AK7" s="38">
        <f t="shared" si="7"/>
        <v>7284074</v>
      </c>
      <c r="AL7" s="39">
        <f t="shared" si="8"/>
        <v>862.1828161197127</v>
      </c>
      <c r="AM7" s="38">
        <f t="shared" si="11"/>
        <v>15238881.4990137</v>
      </c>
      <c r="AN7" s="38">
        <f t="shared" si="12"/>
        <v>0</v>
      </c>
      <c r="AO7" s="38">
        <f t="shared" si="13"/>
        <v>364203.7</v>
      </c>
      <c r="AP7" s="25">
        <f t="shared" si="9"/>
        <v>-363341.51718388032</v>
      </c>
    </row>
    <row r="8" spans="2:42" x14ac:dyDescent="0.25">
      <c r="B8" s="27">
        <v>5</v>
      </c>
      <c r="C8" s="36" t="s">
        <v>75</v>
      </c>
      <c r="D8" s="28">
        <v>40877</v>
      </c>
      <c r="E8" s="28">
        <v>44621</v>
      </c>
      <c r="F8" s="44">
        <f t="shared" si="10"/>
        <v>10.257534246575343</v>
      </c>
      <c r="G8" s="29">
        <v>5</v>
      </c>
      <c r="H8" s="30">
        <v>1</v>
      </c>
      <c r="I8" s="31">
        <v>236195</v>
      </c>
      <c r="J8" s="30">
        <v>63.16</v>
      </c>
      <c r="K8" s="32">
        <v>40</v>
      </c>
      <c r="L8" s="31">
        <v>0</v>
      </c>
      <c r="M8" s="31">
        <v>0</v>
      </c>
      <c r="N8" s="31">
        <v>0</v>
      </c>
      <c r="O8" s="31">
        <v>0</v>
      </c>
      <c r="P8" s="31">
        <v>186114.84119452056</v>
      </c>
      <c r="Q8" s="31">
        <v>68564.707496061383</v>
      </c>
      <c r="R8" s="31">
        <v>25259.238241549021</v>
      </c>
      <c r="S8" s="31">
        <v>9305.5033681866607</v>
      </c>
      <c r="T8" s="31">
        <v>3428.1474408399663</v>
      </c>
      <c r="U8" s="31">
        <v>0</v>
      </c>
      <c r="V8" s="31">
        <f t="shared" si="0"/>
        <v>1262.929517205444</v>
      </c>
      <c r="W8" s="31">
        <v>210935.76175845097</v>
      </c>
      <c r="X8" s="31">
        <v>15953.73487336236</v>
      </c>
      <c r="Y8" s="31">
        <f>+S8*J8%</f>
        <v>5877.3559273466944</v>
      </c>
      <c r="Z8" s="31">
        <f>+T8*J8%</f>
        <v>2165.2179236345223</v>
      </c>
      <c r="AA8" s="31">
        <f>+V8*J8/100</f>
        <v>797.66628306695839</v>
      </c>
      <c r="AB8" s="31">
        <f t="shared" si="1"/>
        <v>465.26323413848559</v>
      </c>
      <c r="AC8" s="31">
        <f>AB8*J8/100*0</f>
        <v>0</v>
      </c>
      <c r="AD8" s="31">
        <f t="shared" si="2"/>
        <v>465.26323413848559</v>
      </c>
      <c r="AE8" s="31">
        <v>0</v>
      </c>
      <c r="AF8" s="31">
        <f t="shared" si="3"/>
        <v>293.86025868186749</v>
      </c>
      <c r="AG8" s="31">
        <f t="shared" si="4"/>
        <v>171.40297545661809</v>
      </c>
      <c r="AH8" s="31">
        <v>0</v>
      </c>
      <c r="AI8" s="31">
        <f t="shared" si="5"/>
        <v>108.25811929839998</v>
      </c>
      <c r="AJ8" s="43">
        <f t="shared" si="6"/>
        <v>0.19</v>
      </c>
      <c r="AK8" s="38">
        <f t="shared" si="7"/>
        <v>236195</v>
      </c>
      <c r="AL8" s="39">
        <f t="shared" si="8"/>
        <v>63.144856158218118</v>
      </c>
      <c r="AM8" s="38">
        <f t="shared" si="11"/>
        <v>460327.87726027402</v>
      </c>
      <c r="AN8" s="38">
        <f t="shared" si="12"/>
        <v>0</v>
      </c>
      <c r="AO8" s="38">
        <f t="shared" si="13"/>
        <v>11809.75</v>
      </c>
      <c r="AP8" s="25">
        <f t="shared" si="9"/>
        <v>-11746.605143841782</v>
      </c>
    </row>
    <row r="9" spans="2:42" x14ac:dyDescent="0.25">
      <c r="B9" s="27">
        <v>6</v>
      </c>
      <c r="C9" s="36" t="s">
        <v>75</v>
      </c>
      <c r="D9" s="28">
        <v>42736</v>
      </c>
      <c r="E9" s="28">
        <v>44621</v>
      </c>
      <c r="F9" s="44">
        <f t="shared" si="10"/>
        <v>5.1643835616438354</v>
      </c>
      <c r="G9" s="29">
        <v>5</v>
      </c>
      <c r="H9" s="30">
        <v>1</v>
      </c>
      <c r="I9" s="31">
        <v>54860</v>
      </c>
      <c r="J9" s="30">
        <v>63.16</v>
      </c>
      <c r="K9" s="32">
        <v>40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54860</v>
      </c>
      <c r="V9" s="31">
        <f t="shared" si="0"/>
        <v>46316.268931506849</v>
      </c>
      <c r="W9" s="31">
        <v>0</v>
      </c>
      <c r="X9" s="31">
        <v>0</v>
      </c>
      <c r="Y9" s="31">
        <v>0</v>
      </c>
      <c r="Z9" s="31">
        <f>+U9*J9%*90/365</f>
        <v>8543.731068493149</v>
      </c>
      <c r="AA9" s="31">
        <v>0</v>
      </c>
      <c r="AB9" s="31">
        <f t="shared" si="1"/>
        <v>46316.268931506849</v>
      </c>
      <c r="AC9" s="31">
        <v>0</v>
      </c>
      <c r="AD9" s="31">
        <f t="shared" si="2"/>
        <v>46316.268931506849</v>
      </c>
      <c r="AE9" s="31">
        <v>0</v>
      </c>
      <c r="AF9" s="31">
        <f t="shared" si="3"/>
        <v>29253.355457139722</v>
      </c>
      <c r="AG9" s="31">
        <f t="shared" si="4"/>
        <v>17062.913474367127</v>
      </c>
      <c r="AH9" s="31">
        <v>0</v>
      </c>
      <c r="AI9" s="31">
        <f t="shared" si="5"/>
        <v>10776.936150410278</v>
      </c>
      <c r="AJ9" s="43">
        <f t="shared" si="6"/>
        <v>0.19</v>
      </c>
      <c r="AK9" s="38">
        <f t="shared" si="7"/>
        <v>109720</v>
      </c>
      <c r="AL9" s="39">
        <f t="shared" si="8"/>
        <v>6285.9773239568494</v>
      </c>
      <c r="AM9" s="38">
        <f t="shared" si="11"/>
        <v>107660.8712328767</v>
      </c>
      <c r="AN9" s="38">
        <f t="shared" si="12"/>
        <v>2059.1287671233003</v>
      </c>
      <c r="AO9" s="38">
        <f t="shared" si="13"/>
        <v>2743</v>
      </c>
      <c r="AP9" s="25">
        <f t="shared" si="9"/>
        <v>3542.9773239568494</v>
      </c>
    </row>
    <row r="10" spans="2:42" x14ac:dyDescent="0.25">
      <c r="B10" s="27">
        <v>7</v>
      </c>
      <c r="C10" s="36" t="s">
        <v>75</v>
      </c>
      <c r="D10" s="28">
        <v>43190</v>
      </c>
      <c r="E10" s="28">
        <v>44621</v>
      </c>
      <c r="F10" s="44">
        <f t="shared" si="10"/>
        <v>3.9205479452054797</v>
      </c>
      <c r="G10" s="29">
        <v>5</v>
      </c>
      <c r="H10" s="30">
        <v>1</v>
      </c>
      <c r="I10" s="31">
        <v>126000</v>
      </c>
      <c r="J10" s="30">
        <v>63.16</v>
      </c>
      <c r="K10" s="32">
        <v>40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126000</v>
      </c>
      <c r="AC10" s="31">
        <f>AB10*J10/100*0</f>
        <v>0</v>
      </c>
      <c r="AD10" s="31">
        <f t="shared" si="2"/>
        <v>126000</v>
      </c>
      <c r="AE10" s="31">
        <v>0</v>
      </c>
      <c r="AF10" s="31">
        <f t="shared" si="3"/>
        <v>79581.600000000006</v>
      </c>
      <c r="AG10" s="31">
        <f t="shared" si="4"/>
        <v>46418.399999999994</v>
      </c>
      <c r="AH10" s="31">
        <v>0</v>
      </c>
      <c r="AI10" s="31">
        <f t="shared" si="5"/>
        <v>29317.861439999993</v>
      </c>
      <c r="AJ10" s="43">
        <f t="shared" si="6"/>
        <v>0.19</v>
      </c>
      <c r="AK10" s="38">
        <f t="shared" si="7"/>
        <v>126000</v>
      </c>
      <c r="AL10" s="39">
        <f t="shared" si="8"/>
        <v>17100.538560000001</v>
      </c>
      <c r="AM10" s="38">
        <f t="shared" si="11"/>
        <v>93857.917808219179</v>
      </c>
      <c r="AN10" s="38">
        <f t="shared" si="12"/>
        <v>32142.082191780821</v>
      </c>
      <c r="AO10" s="38">
        <f t="shared" si="13"/>
        <v>28927.873972602738</v>
      </c>
      <c r="AP10" s="25">
        <f t="shared" si="9"/>
        <v>-11827.335412602737</v>
      </c>
    </row>
    <row r="11" spans="2:42" x14ac:dyDescent="0.25">
      <c r="B11" s="27">
        <v>8</v>
      </c>
      <c r="C11" s="36" t="s">
        <v>75</v>
      </c>
      <c r="D11" s="28">
        <v>43645</v>
      </c>
      <c r="E11" s="28">
        <v>44621</v>
      </c>
      <c r="F11" s="44">
        <f t="shared" si="10"/>
        <v>2.6739726027397261</v>
      </c>
      <c r="G11" s="29">
        <v>5</v>
      </c>
      <c r="H11" s="30">
        <v>1</v>
      </c>
      <c r="I11" s="33">
        <f>AE11+AH11</f>
        <v>1065044.3500000001</v>
      </c>
      <c r="J11" s="30">
        <v>63.16</v>
      </c>
      <c r="K11" s="32">
        <v>40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1065044.3500000001</v>
      </c>
      <c r="AF11" s="31">
        <v>508658.17852865753</v>
      </c>
      <c r="AG11" s="31">
        <f>AE11-AF11</f>
        <v>556386.17147134256</v>
      </c>
      <c r="AH11" s="31">
        <v>0</v>
      </c>
      <c r="AI11" s="31">
        <f t="shared" si="5"/>
        <v>351413.50590129994</v>
      </c>
      <c r="AJ11" s="43">
        <f t="shared" si="6"/>
        <v>0.19</v>
      </c>
      <c r="AK11" s="38">
        <f t="shared" si="7"/>
        <v>2130088.7000000002</v>
      </c>
      <c r="AL11" s="39">
        <f t="shared" si="8"/>
        <v>204972.66557004262</v>
      </c>
      <c r="AM11" s="38">
        <f t="shared" si="11"/>
        <v>1082201.7767890412</v>
      </c>
      <c r="AN11" s="38">
        <f t="shared" si="12"/>
        <v>1047886.923210959</v>
      </c>
      <c r="AO11" s="38">
        <f t="shared" si="13"/>
        <v>943098.2308898631</v>
      </c>
      <c r="AP11" s="25">
        <f t="shared" si="9"/>
        <v>-738125.56531982054</v>
      </c>
    </row>
    <row r="12" spans="2:42" x14ac:dyDescent="0.25">
      <c r="B12" s="27">
        <v>9</v>
      </c>
      <c r="C12" s="36" t="s">
        <v>75</v>
      </c>
      <c r="D12" s="28">
        <v>43645</v>
      </c>
      <c r="E12" s="28">
        <v>44621</v>
      </c>
      <c r="F12" s="44">
        <f t="shared" si="10"/>
        <v>2.6739726027397261</v>
      </c>
      <c r="G12" s="29">
        <v>5</v>
      </c>
      <c r="H12" s="30">
        <v>1</v>
      </c>
      <c r="I12" s="33">
        <f>AE12</f>
        <v>171688.7</v>
      </c>
      <c r="J12" s="30">
        <v>63.16</v>
      </c>
      <c r="K12" s="32">
        <v>40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171688.7</v>
      </c>
      <c r="AF12" s="31">
        <v>81997.394207999998</v>
      </c>
      <c r="AG12" s="31">
        <f>AE12-AF12</f>
        <v>89691.305792000014</v>
      </c>
      <c r="AH12" s="31">
        <v>0</v>
      </c>
      <c r="AI12" s="31">
        <f t="shared" si="5"/>
        <v>56649.028738227207</v>
      </c>
      <c r="AJ12" s="43">
        <f t="shared" si="6"/>
        <v>0.19</v>
      </c>
      <c r="AK12" s="38">
        <f t="shared" si="7"/>
        <v>343377.4</v>
      </c>
      <c r="AL12" s="39">
        <f t="shared" si="8"/>
        <v>33042.277053772807</v>
      </c>
      <c r="AM12" s="38">
        <f t="shared" si="11"/>
        <v>174454.53440000003</v>
      </c>
      <c r="AN12" s="38">
        <f t="shared" si="12"/>
        <v>168922.86559999999</v>
      </c>
      <c r="AO12" s="38">
        <f t="shared" si="13"/>
        <v>152030.57903999998</v>
      </c>
      <c r="AP12" s="25">
        <f t="shared" si="9"/>
        <v>-118988.30198622718</v>
      </c>
    </row>
    <row r="13" spans="2:42" x14ac:dyDescent="0.25">
      <c r="B13" s="27">
        <v>10</v>
      </c>
      <c r="C13" s="36" t="s">
        <v>75</v>
      </c>
      <c r="D13" s="28">
        <v>43830</v>
      </c>
      <c r="E13" s="28">
        <v>44621</v>
      </c>
      <c r="F13" s="44">
        <f t="shared" si="10"/>
        <v>2.1671232876712327</v>
      </c>
      <c r="G13" s="29">
        <v>5</v>
      </c>
      <c r="H13" s="30">
        <v>1</v>
      </c>
      <c r="I13" s="33">
        <f>AE13</f>
        <v>529922</v>
      </c>
      <c r="J13" s="30">
        <v>63.16</v>
      </c>
      <c r="K13" s="32">
        <v>40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529922</v>
      </c>
      <c r="AF13" s="31">
        <v>83445.438090958894</v>
      </c>
      <c r="AG13" s="31">
        <f>AE13-AF13</f>
        <v>446476.56190904113</v>
      </c>
      <c r="AH13" s="31">
        <v>0</v>
      </c>
      <c r="AI13" s="31">
        <f t="shared" si="5"/>
        <v>281994.59650175035</v>
      </c>
      <c r="AJ13" s="43">
        <f t="shared" si="6"/>
        <v>0.19</v>
      </c>
      <c r="AK13" s="38">
        <f t="shared" si="7"/>
        <v>1059844</v>
      </c>
      <c r="AL13" s="39">
        <f t="shared" si="8"/>
        <v>164481.96540729079</v>
      </c>
      <c r="AM13" s="38">
        <f t="shared" si="11"/>
        <v>436394.39660273975</v>
      </c>
      <c r="AN13" s="38">
        <f t="shared" si="12"/>
        <v>623449.60339726019</v>
      </c>
      <c r="AO13" s="38">
        <f t="shared" si="13"/>
        <v>561104.64305753424</v>
      </c>
      <c r="AP13" s="25">
        <f t="shared" si="9"/>
        <v>-396622.67765024345</v>
      </c>
    </row>
    <row r="14" spans="2:42" x14ac:dyDescent="0.25">
      <c r="B14" s="27">
        <v>11</v>
      </c>
      <c r="C14" s="36" t="s">
        <v>75</v>
      </c>
      <c r="D14" s="28">
        <v>43861</v>
      </c>
      <c r="E14" s="28">
        <v>44621</v>
      </c>
      <c r="F14" s="44">
        <f t="shared" si="10"/>
        <v>2.0821917808219177</v>
      </c>
      <c r="G14" s="29">
        <v>5</v>
      </c>
      <c r="H14" s="30">
        <v>1</v>
      </c>
      <c r="I14" s="33">
        <f>AE14</f>
        <v>188170</v>
      </c>
      <c r="J14" s="30">
        <v>63.16</v>
      </c>
      <c r="K14" s="32">
        <v>40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188170</v>
      </c>
      <c r="AF14" s="31">
        <v>19536.685808219176</v>
      </c>
      <c r="AG14" s="31">
        <f>AE14-AF14</f>
        <v>168633.31419178081</v>
      </c>
      <c r="AH14" s="31">
        <v>0</v>
      </c>
      <c r="AI14" s="31">
        <f t="shared" si="5"/>
        <v>106508.80124352877</v>
      </c>
      <c r="AJ14" s="43">
        <f t="shared" si="6"/>
        <v>0.19</v>
      </c>
      <c r="AK14" s="38">
        <f t="shared" si="7"/>
        <v>376340</v>
      </c>
      <c r="AL14" s="39">
        <f t="shared" si="8"/>
        <v>62124.512948252042</v>
      </c>
      <c r="AM14" s="38">
        <f t="shared" si="11"/>
        <v>148886.2904109589</v>
      </c>
      <c r="AN14" s="38">
        <f t="shared" si="12"/>
        <v>227453.7095890411</v>
      </c>
      <c r="AO14" s="38">
        <f t="shared" si="13"/>
        <v>204708.338630137</v>
      </c>
      <c r="AP14" s="25">
        <f t="shared" si="9"/>
        <v>-142583.82568188495</v>
      </c>
    </row>
    <row r="15" spans="2:42" x14ac:dyDescent="0.25">
      <c r="B15" s="27">
        <v>12</v>
      </c>
      <c r="C15" s="36" t="s">
        <v>75</v>
      </c>
      <c r="D15" s="28">
        <v>43861</v>
      </c>
      <c r="E15" s="28">
        <v>44621</v>
      </c>
      <c r="F15" s="44">
        <f t="shared" si="10"/>
        <v>2.0821917808219177</v>
      </c>
      <c r="G15" s="29">
        <v>5</v>
      </c>
      <c r="H15" s="30">
        <v>1</v>
      </c>
      <c r="I15" s="33">
        <f>AE15</f>
        <v>200620</v>
      </c>
      <c r="J15" s="30">
        <v>63.16</v>
      </c>
      <c r="K15" s="32">
        <v>40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200620</v>
      </c>
      <c r="AF15" s="31">
        <v>20829.302794520543</v>
      </c>
      <c r="AG15" s="31">
        <f>AE15-AF15</f>
        <v>179790.69720547946</v>
      </c>
      <c r="AH15" s="31">
        <v>0</v>
      </c>
      <c r="AI15" s="31">
        <f t="shared" si="5"/>
        <v>113555.80435498084</v>
      </c>
      <c r="AJ15" s="43">
        <f t="shared" si="6"/>
        <v>0.19</v>
      </c>
      <c r="AK15" s="38">
        <f t="shared" si="7"/>
        <v>401240</v>
      </c>
      <c r="AL15" s="39">
        <f t="shared" si="8"/>
        <v>66234.892850498625</v>
      </c>
      <c r="AM15" s="38">
        <f t="shared" si="11"/>
        <v>158737.13972602741</v>
      </c>
      <c r="AN15" s="38">
        <f t="shared" si="12"/>
        <v>242502.86027397259</v>
      </c>
      <c r="AO15" s="38">
        <f t="shared" si="13"/>
        <v>218252.57424657533</v>
      </c>
      <c r="AP15" s="25">
        <f t="shared" si="9"/>
        <v>-152017.68139607669</v>
      </c>
    </row>
    <row r="16" spans="2:42" x14ac:dyDescent="0.25">
      <c r="B16" s="27">
        <v>13</v>
      </c>
      <c r="C16" s="36" t="s">
        <v>75</v>
      </c>
      <c r="D16" s="28">
        <v>44043</v>
      </c>
      <c r="E16" s="28">
        <v>44621</v>
      </c>
      <c r="F16" s="44">
        <f t="shared" si="10"/>
        <v>1.5835616438356164</v>
      </c>
      <c r="G16" s="29">
        <v>5</v>
      </c>
      <c r="H16" s="30">
        <v>1</v>
      </c>
      <c r="I16" s="33">
        <f t="shared" ref="I16:I24" si="14">AH16</f>
        <v>739692</v>
      </c>
      <c r="J16" s="30">
        <v>63.16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739692</v>
      </c>
      <c r="AI16" s="31">
        <v>311032.98775232874</v>
      </c>
      <c r="AJ16" s="43">
        <f t="shared" si="6"/>
        <v>0.19</v>
      </c>
      <c r="AK16" s="38">
        <f t="shared" si="7"/>
        <v>1479384</v>
      </c>
      <c r="AL16" s="39">
        <f t="shared" ref="AL16:AL24" si="15">AH16-AI16</f>
        <v>428659.01224767126</v>
      </c>
      <c r="AM16" s="38">
        <f t="shared" si="11"/>
        <v>445112.19419178081</v>
      </c>
      <c r="AN16" s="38">
        <f t="shared" si="12"/>
        <v>1034271.8058082191</v>
      </c>
      <c r="AO16" s="38">
        <f t="shared" si="13"/>
        <v>930844.62522739719</v>
      </c>
      <c r="AP16" s="25">
        <f t="shared" si="9"/>
        <v>-502185.61297972593</v>
      </c>
    </row>
    <row r="17" spans="2:42" x14ac:dyDescent="0.25">
      <c r="B17" s="27">
        <v>14</v>
      </c>
      <c r="C17" s="36" t="s">
        <v>75</v>
      </c>
      <c r="D17" s="28">
        <v>44043</v>
      </c>
      <c r="E17" s="28">
        <v>44621</v>
      </c>
      <c r="F17" s="44">
        <f t="shared" si="10"/>
        <v>1.5835616438356164</v>
      </c>
      <c r="G17" s="29">
        <v>5</v>
      </c>
      <c r="H17" s="30">
        <v>1</v>
      </c>
      <c r="I17" s="33">
        <f t="shared" si="14"/>
        <v>1506095.1</v>
      </c>
      <c r="J17" s="30">
        <v>63.16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1506095.1</v>
      </c>
      <c r="AI17" s="31">
        <v>633297.7222846027</v>
      </c>
      <c r="AJ17" s="43">
        <f t="shared" si="6"/>
        <v>0.19</v>
      </c>
      <c r="AK17" s="38">
        <f t="shared" si="7"/>
        <v>3012190.2</v>
      </c>
      <c r="AL17" s="39">
        <f t="shared" si="15"/>
        <v>872797.37771539739</v>
      </c>
      <c r="AM17" s="38">
        <f t="shared" si="11"/>
        <v>906297.88428493147</v>
      </c>
      <c r="AN17" s="38">
        <f t="shared" si="12"/>
        <v>2105892.315715069</v>
      </c>
      <c r="AO17" s="38">
        <f t="shared" si="13"/>
        <v>1895303.084143562</v>
      </c>
      <c r="AP17" s="25">
        <f t="shared" si="9"/>
        <v>-1022505.7064281646</v>
      </c>
    </row>
    <row r="18" spans="2:42" x14ac:dyDescent="0.25">
      <c r="B18" s="27">
        <v>15</v>
      </c>
      <c r="C18" s="36" t="s">
        <v>75</v>
      </c>
      <c r="D18" s="28">
        <v>44043</v>
      </c>
      <c r="E18" s="28">
        <v>44621</v>
      </c>
      <c r="F18" s="44">
        <f t="shared" si="10"/>
        <v>1.5835616438356164</v>
      </c>
      <c r="G18" s="29">
        <v>5</v>
      </c>
      <c r="H18" s="30">
        <v>1</v>
      </c>
      <c r="I18" s="33">
        <f t="shared" si="14"/>
        <v>230126.4</v>
      </c>
      <c r="J18" s="30">
        <v>63.16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230126.4</v>
      </c>
      <c r="AI18" s="31">
        <v>96765.8184118356</v>
      </c>
      <c r="AJ18" s="43">
        <f t="shared" si="6"/>
        <v>0.19</v>
      </c>
      <c r="AK18" s="38">
        <f t="shared" si="7"/>
        <v>460252.8</v>
      </c>
      <c r="AL18" s="39">
        <f t="shared" si="15"/>
        <v>133360.58158816438</v>
      </c>
      <c r="AM18" s="38">
        <f t="shared" si="11"/>
        <v>138479.34930410958</v>
      </c>
      <c r="AN18" s="38">
        <f t="shared" si="12"/>
        <v>321773.45069589041</v>
      </c>
      <c r="AO18" s="38">
        <f t="shared" si="13"/>
        <v>289596.10562630137</v>
      </c>
      <c r="AP18" s="25">
        <f t="shared" si="9"/>
        <v>-156235.52403813699</v>
      </c>
    </row>
    <row r="19" spans="2:42" x14ac:dyDescent="0.25">
      <c r="B19" s="27">
        <v>16</v>
      </c>
      <c r="C19" s="36" t="s">
        <v>75</v>
      </c>
      <c r="D19" s="28">
        <v>44043</v>
      </c>
      <c r="E19" s="28">
        <v>44621</v>
      </c>
      <c r="F19" s="44">
        <f t="shared" si="10"/>
        <v>1.5835616438356164</v>
      </c>
      <c r="G19" s="29">
        <v>5</v>
      </c>
      <c r="H19" s="30">
        <v>1</v>
      </c>
      <c r="I19" s="33">
        <f t="shared" si="14"/>
        <v>690303.1</v>
      </c>
      <c r="J19" s="30">
        <v>63.16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690303.1</v>
      </c>
      <c r="AI19" s="31">
        <v>290265.45595693146</v>
      </c>
      <c r="AJ19" s="43">
        <f t="shared" si="6"/>
        <v>0.19</v>
      </c>
      <c r="AK19" s="38">
        <f t="shared" si="7"/>
        <v>1380606.2</v>
      </c>
      <c r="AL19" s="39">
        <f t="shared" si="15"/>
        <v>400037.64404306852</v>
      </c>
      <c r="AM19" s="38">
        <f t="shared" si="11"/>
        <v>415392.25447671232</v>
      </c>
      <c r="AN19" s="38">
        <f t="shared" si="12"/>
        <v>965213.94552328764</v>
      </c>
      <c r="AO19" s="38">
        <f t="shared" si="13"/>
        <v>868692.5509709589</v>
      </c>
      <c r="AP19" s="25">
        <f t="shared" si="9"/>
        <v>-468654.90692789038</v>
      </c>
    </row>
    <row r="20" spans="2:42" x14ac:dyDescent="0.25">
      <c r="B20" s="27">
        <v>17</v>
      </c>
      <c r="C20" s="36" t="s">
        <v>75</v>
      </c>
      <c r="D20" s="28">
        <v>44135</v>
      </c>
      <c r="E20" s="28">
        <v>44621</v>
      </c>
      <c r="F20" s="44">
        <f t="shared" si="10"/>
        <v>1.3315068493150686</v>
      </c>
      <c r="G20" s="29">
        <v>5</v>
      </c>
      <c r="H20" s="30">
        <v>1</v>
      </c>
      <c r="I20" s="33">
        <f t="shared" si="14"/>
        <v>124149.1</v>
      </c>
      <c r="J20" s="30">
        <v>63.16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124149.1</v>
      </c>
      <c r="AI20" s="31">
        <v>32439.173439890412</v>
      </c>
      <c r="AJ20" s="43">
        <f t="shared" si="6"/>
        <v>0.19</v>
      </c>
      <c r="AK20" s="38">
        <f t="shared" si="7"/>
        <v>248298.2</v>
      </c>
      <c r="AL20" s="39">
        <f t="shared" si="15"/>
        <v>91709.926560109598</v>
      </c>
      <c r="AM20" s="38">
        <f t="shared" si="11"/>
        <v>62816.043254794531</v>
      </c>
      <c r="AN20" s="38">
        <f t="shared" si="12"/>
        <v>185482.15674520549</v>
      </c>
      <c r="AO20" s="38">
        <f t="shared" si="13"/>
        <v>166933.94107068493</v>
      </c>
      <c r="AP20" s="25">
        <f t="shared" si="9"/>
        <v>-75224.014510575333</v>
      </c>
    </row>
    <row r="21" spans="2:42" x14ac:dyDescent="0.25">
      <c r="B21" s="27">
        <v>18</v>
      </c>
      <c r="C21" s="36" t="s">
        <v>75</v>
      </c>
      <c r="D21" s="28">
        <v>44244</v>
      </c>
      <c r="E21" s="28">
        <v>44621</v>
      </c>
      <c r="F21" s="44">
        <f t="shared" si="10"/>
        <v>1.0328767123287672</v>
      </c>
      <c r="G21" s="29">
        <v>5</v>
      </c>
      <c r="H21" s="30">
        <v>1</v>
      </c>
      <c r="I21" s="33">
        <f t="shared" si="14"/>
        <v>7616</v>
      </c>
      <c r="J21" s="30">
        <v>63.16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7616</v>
      </c>
      <c r="AI21" s="31">
        <v>553.51001424657522</v>
      </c>
      <c r="AJ21" s="43">
        <f t="shared" si="6"/>
        <v>0.19</v>
      </c>
      <c r="AK21" s="38">
        <f t="shared" si="7"/>
        <v>15232</v>
      </c>
      <c r="AL21" s="39">
        <f t="shared" si="15"/>
        <v>7062.4899857534247</v>
      </c>
      <c r="AM21" s="38">
        <f t="shared" si="11"/>
        <v>2989.2278356164384</v>
      </c>
      <c r="AN21" s="38">
        <f t="shared" si="12"/>
        <v>12242.772164383561</v>
      </c>
      <c r="AO21" s="38">
        <f t="shared" si="13"/>
        <v>11018.494947945206</v>
      </c>
      <c r="AP21" s="25">
        <f t="shared" si="9"/>
        <v>-3956.0049621917815</v>
      </c>
    </row>
    <row r="22" spans="2:42" x14ac:dyDescent="0.25">
      <c r="B22" s="27">
        <v>19</v>
      </c>
      <c r="C22" s="36" t="s">
        <v>75</v>
      </c>
      <c r="D22" s="28">
        <v>44280</v>
      </c>
      <c r="E22" s="28">
        <v>44621</v>
      </c>
      <c r="F22" s="44">
        <f t="shared" si="10"/>
        <v>0.9342465753424658</v>
      </c>
      <c r="G22" s="29">
        <v>5</v>
      </c>
      <c r="H22" s="30">
        <v>1</v>
      </c>
      <c r="I22" s="33">
        <f t="shared" si="14"/>
        <v>52627.97</v>
      </c>
      <c r="J22" s="30">
        <v>63.16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52627.97</v>
      </c>
      <c r="AI22" s="31">
        <v>546.40809619726031</v>
      </c>
      <c r="AJ22" s="43">
        <f t="shared" si="6"/>
        <v>0.19</v>
      </c>
      <c r="AK22" s="38">
        <f t="shared" si="7"/>
        <v>105255.94</v>
      </c>
      <c r="AL22" s="39">
        <f t="shared" si="15"/>
        <v>52081.561903802743</v>
      </c>
      <c r="AM22" s="38">
        <f t="shared" si="11"/>
        <v>18683.650281095892</v>
      </c>
      <c r="AN22" s="38">
        <f t="shared" si="12"/>
        <v>86572.28971890411</v>
      </c>
      <c r="AO22" s="38">
        <f t="shared" si="13"/>
        <v>77915.060747013704</v>
      </c>
      <c r="AP22" s="25">
        <f t="shared" si="9"/>
        <v>-25833.49884321096</v>
      </c>
    </row>
    <row r="23" spans="2:42" x14ac:dyDescent="0.25">
      <c r="B23" s="27">
        <v>20</v>
      </c>
      <c r="C23" s="36" t="s">
        <v>75</v>
      </c>
      <c r="D23" s="28">
        <v>44286</v>
      </c>
      <c r="E23" s="28">
        <v>44621</v>
      </c>
      <c r="F23" s="44">
        <f t="shared" si="10"/>
        <v>0.9178082191780822</v>
      </c>
      <c r="G23" s="29">
        <v>5</v>
      </c>
      <c r="H23" s="30">
        <v>1</v>
      </c>
      <c r="I23" s="33">
        <f t="shared" si="14"/>
        <v>548988.07999999996</v>
      </c>
      <c r="J23" s="30">
        <v>63.16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548988.07999999996</v>
      </c>
      <c r="AI23" s="31">
        <v>0</v>
      </c>
      <c r="AJ23" s="43">
        <f t="shared" si="6"/>
        <v>0.19</v>
      </c>
      <c r="AK23" s="38">
        <f t="shared" si="7"/>
        <v>1097976.1599999999</v>
      </c>
      <c r="AL23" s="39">
        <f t="shared" si="15"/>
        <v>548988.07999999996</v>
      </c>
      <c r="AM23" s="38">
        <f t="shared" si="11"/>
        <v>191468.99338082192</v>
      </c>
      <c r="AN23" s="38">
        <f t="shared" si="12"/>
        <v>906507.16661917802</v>
      </c>
      <c r="AO23" s="38">
        <f t="shared" si="13"/>
        <v>815856.44995726028</v>
      </c>
      <c r="AP23" s="25">
        <f t="shared" si="9"/>
        <v>-266868.36995726032</v>
      </c>
    </row>
    <row r="24" spans="2:42" x14ac:dyDescent="0.25">
      <c r="B24" s="27">
        <v>21</v>
      </c>
      <c r="C24" s="36" t="s">
        <v>75</v>
      </c>
      <c r="D24" s="28">
        <v>44286</v>
      </c>
      <c r="E24" s="28">
        <v>44621</v>
      </c>
      <c r="F24" s="44">
        <f t="shared" si="10"/>
        <v>0.9178082191780822</v>
      </c>
      <c r="G24" s="29">
        <v>5</v>
      </c>
      <c r="H24" s="30">
        <v>1</v>
      </c>
      <c r="I24" s="33">
        <f t="shared" si="14"/>
        <v>141371</v>
      </c>
      <c r="J24" s="30">
        <v>63.16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141371</v>
      </c>
      <c r="AI24" s="31">
        <v>0</v>
      </c>
      <c r="AJ24" s="43">
        <f t="shared" si="6"/>
        <v>0.19</v>
      </c>
      <c r="AK24" s="38">
        <f t="shared" si="7"/>
        <v>282742</v>
      </c>
      <c r="AL24" s="39">
        <f t="shared" si="15"/>
        <v>141371</v>
      </c>
      <c r="AM24" s="38">
        <f t="shared" si="11"/>
        <v>49305.556986301373</v>
      </c>
      <c r="AN24" s="38">
        <f t="shared" si="12"/>
        <v>233436.44301369862</v>
      </c>
      <c r="AO24" s="38">
        <f t="shared" si="13"/>
        <v>210092.79871232877</v>
      </c>
      <c r="AP24" s="25">
        <f t="shared" si="9"/>
        <v>-68721.798712328775</v>
      </c>
    </row>
    <row r="25" spans="2:42" x14ac:dyDescent="0.25">
      <c r="B25" s="27">
        <v>22</v>
      </c>
      <c r="C25" s="36" t="s">
        <v>76</v>
      </c>
      <c r="D25" s="28">
        <v>39173</v>
      </c>
      <c r="E25" s="28">
        <v>44621</v>
      </c>
      <c r="F25" s="44">
        <f t="shared" si="10"/>
        <v>14.926027397260274</v>
      </c>
      <c r="G25" s="29">
        <v>10</v>
      </c>
      <c r="H25" s="30">
        <v>1</v>
      </c>
      <c r="I25" s="33">
        <v>25600</v>
      </c>
      <c r="J25" s="30">
        <v>31.23</v>
      </c>
      <c r="K25" s="32">
        <v>18.100000000000001</v>
      </c>
      <c r="L25" s="31">
        <v>17605.12</v>
      </c>
      <c r="M25" s="31">
        <v>12107.041023999998</v>
      </c>
      <c r="N25" s="31">
        <v>8326.0121122047985</v>
      </c>
      <c r="O25" s="31">
        <v>5725.7985295632398</v>
      </c>
      <c r="P25" s="31">
        <v>3937.6316487806398</v>
      </c>
      <c r="Q25" s="31">
        <v>2707.9092848664459</v>
      </c>
      <c r="R25" s="31">
        <v>1862.2292152026548</v>
      </c>
      <c r="S25" s="31">
        <v>1280.6550312948657</v>
      </c>
      <c r="T25" s="31">
        <v>880.70646502147906</v>
      </c>
      <c r="U25" s="31">
        <v>0</v>
      </c>
      <c r="V25" s="31">
        <f t="shared" ref="V25:V30" si="16">+T25+U25-Z25</f>
        <v>605.66183599527108</v>
      </c>
      <c r="W25" s="31">
        <v>23737.770784797343</v>
      </c>
      <c r="X25" s="31">
        <v>581.57418390778912</v>
      </c>
      <c r="Y25" s="31">
        <f>+S25*J25%</f>
        <v>399.94856627338658</v>
      </c>
      <c r="Z25" s="31">
        <f>+T25*J25%</f>
        <v>275.04462902620793</v>
      </c>
      <c r="AA25" s="31">
        <f>+V25*J25/100</f>
        <v>189.14819138132316</v>
      </c>
      <c r="AB25" s="31">
        <f t="shared" ref="AB25:AB30" si="17">+V25-AA25</f>
        <v>416.51364461394792</v>
      </c>
      <c r="AC25" s="31">
        <f t="shared" ref="AC25:AC30" si="18">AB25*J25/100</f>
        <v>130.07721121293594</v>
      </c>
      <c r="AD25" s="31">
        <f t="shared" ref="AD25:AD30" si="19">AB25-AC25</f>
        <v>286.43643340101198</v>
      </c>
      <c r="AE25" s="31">
        <v>0</v>
      </c>
      <c r="AF25" s="31">
        <f t="shared" ref="AF25:AF30" si="20">AD25*J25/100</f>
        <v>89.454098151136037</v>
      </c>
      <c r="AG25" s="31">
        <f t="shared" ref="AG25:AG30" si="21">AD25-AF25</f>
        <v>196.98233524987594</v>
      </c>
      <c r="AH25" s="31">
        <v>0</v>
      </c>
      <c r="AI25" s="31">
        <f t="shared" ref="AI25:AI59" si="22">AG25*J25/100</f>
        <v>61.517583298536259</v>
      </c>
      <c r="AJ25" s="43">
        <f t="shared" si="6"/>
        <v>9.5000000000000001E-2</v>
      </c>
      <c r="AK25" s="38">
        <f t="shared" si="7"/>
        <v>25600</v>
      </c>
      <c r="AL25" s="39">
        <f t="shared" ref="AL25:AL30" si="23">AG25-AI25</f>
        <v>135.46475195133968</v>
      </c>
      <c r="AM25" s="38">
        <f t="shared" si="11"/>
        <v>36300.098630136985</v>
      </c>
      <c r="AN25" s="38">
        <f t="shared" si="12"/>
        <v>0</v>
      </c>
      <c r="AO25" s="38">
        <f t="shared" si="13"/>
        <v>1280</v>
      </c>
      <c r="AP25" s="25">
        <f t="shared" si="9"/>
        <v>-1144.5352480486604</v>
      </c>
    </row>
    <row r="26" spans="2:42" x14ac:dyDescent="0.25">
      <c r="B26" s="27">
        <v>23</v>
      </c>
      <c r="C26" s="36" t="s">
        <v>76</v>
      </c>
      <c r="D26" s="28">
        <v>39539</v>
      </c>
      <c r="E26" s="28">
        <v>44621</v>
      </c>
      <c r="F26" s="44">
        <f t="shared" si="10"/>
        <v>13.923287671232877</v>
      </c>
      <c r="G26" s="29">
        <v>10</v>
      </c>
      <c r="H26" s="30">
        <v>1</v>
      </c>
      <c r="I26" s="33">
        <v>1096424</v>
      </c>
      <c r="J26" s="30">
        <v>31.23</v>
      </c>
      <c r="K26" s="32">
        <v>18.100000000000001</v>
      </c>
      <c r="L26" s="31">
        <v>0</v>
      </c>
      <c r="M26" s="31">
        <v>754010.78480000002</v>
      </c>
      <c r="N26" s="31">
        <v>518533.21670696</v>
      </c>
      <c r="O26" s="31">
        <v>356595.29312937637</v>
      </c>
      <c r="P26" s="31">
        <v>245230.58308507211</v>
      </c>
      <c r="Q26" s="31">
        <v>168645.07198760408</v>
      </c>
      <c r="R26" s="31">
        <v>115977.21600587532</v>
      </c>
      <c r="S26" s="31">
        <v>79757.531447240457</v>
      </c>
      <c r="T26" s="31">
        <v>54849.254376267258</v>
      </c>
      <c r="U26" s="31">
        <v>0</v>
      </c>
      <c r="V26" s="31">
        <f t="shared" si="16"/>
        <v>37719.832234558991</v>
      </c>
      <c r="W26" s="31">
        <v>980446.78399412474</v>
      </c>
      <c r="X26" s="31">
        <v>36219.684558634865</v>
      </c>
      <c r="Y26" s="31">
        <f>+S26*J26%</f>
        <v>24908.277070973196</v>
      </c>
      <c r="Z26" s="31">
        <f>+T26*J26%</f>
        <v>17129.422141708266</v>
      </c>
      <c r="AA26" s="31">
        <f t="shared" ref="AA26:AA29" si="24">+V26*J26/100</f>
        <v>11779.903606852773</v>
      </c>
      <c r="AB26" s="31">
        <f t="shared" si="17"/>
        <v>25939.92862770622</v>
      </c>
      <c r="AC26" s="31">
        <f t="shared" si="18"/>
        <v>8101.039710432653</v>
      </c>
      <c r="AD26" s="31">
        <f t="shared" si="19"/>
        <v>17838.888917273565</v>
      </c>
      <c r="AE26" s="31">
        <v>0</v>
      </c>
      <c r="AF26" s="31">
        <f t="shared" si="20"/>
        <v>5571.0850088645348</v>
      </c>
      <c r="AG26" s="31">
        <f t="shared" si="21"/>
        <v>12267.803908409031</v>
      </c>
      <c r="AH26" s="31">
        <v>0</v>
      </c>
      <c r="AI26" s="31">
        <f t="shared" si="22"/>
        <v>3831.2351605961403</v>
      </c>
      <c r="AJ26" s="43">
        <f t="shared" si="6"/>
        <v>9.5000000000000001E-2</v>
      </c>
      <c r="AK26" s="38">
        <f t="shared" si="7"/>
        <v>1096424</v>
      </c>
      <c r="AL26" s="39">
        <f t="shared" si="23"/>
        <v>8436.5687478128893</v>
      </c>
      <c r="AM26" s="38">
        <f t="shared" si="11"/>
        <v>1450253.5423561644</v>
      </c>
      <c r="AN26" s="38">
        <f t="shared" si="12"/>
        <v>0</v>
      </c>
      <c r="AO26" s="38">
        <f t="shared" si="13"/>
        <v>54821.200000000004</v>
      </c>
      <c r="AP26" s="25">
        <f t="shared" si="9"/>
        <v>-46384.631252187115</v>
      </c>
    </row>
    <row r="27" spans="2:42" x14ac:dyDescent="0.25">
      <c r="B27" s="27">
        <v>24</v>
      </c>
      <c r="C27" s="36" t="s">
        <v>76</v>
      </c>
      <c r="D27" s="28">
        <v>40633</v>
      </c>
      <c r="E27" s="28">
        <v>44621</v>
      </c>
      <c r="F27" s="44">
        <f t="shared" si="10"/>
        <v>10.926027397260274</v>
      </c>
      <c r="G27" s="29">
        <v>10</v>
      </c>
      <c r="H27" s="30">
        <v>1</v>
      </c>
      <c r="I27" s="33">
        <v>321397306</v>
      </c>
      <c r="J27" s="30">
        <v>31.23</v>
      </c>
      <c r="K27" s="32">
        <v>18.100000000000001</v>
      </c>
      <c r="L27" s="31">
        <v>0</v>
      </c>
      <c r="M27" s="31">
        <v>0</v>
      </c>
      <c r="N27" s="31">
        <v>0</v>
      </c>
      <c r="O27" s="31">
        <v>313669250.08880436</v>
      </c>
      <c r="P27" s="31">
        <v>215710343.28607076</v>
      </c>
      <c r="Q27" s="31">
        <v>147144334.07783085</v>
      </c>
      <c r="R27" s="31">
        <v>101191158.54532427</v>
      </c>
      <c r="S27" s="31">
        <v>69589159.731619492</v>
      </c>
      <c r="T27" s="31">
        <v>47856465.147434726</v>
      </c>
      <c r="U27" s="31">
        <v>0</v>
      </c>
      <c r="V27" s="31">
        <f t="shared" si="16"/>
        <v>32910891.081890859</v>
      </c>
      <c r="W27" s="31">
        <v>220206147.45467573</v>
      </c>
      <c r="X27" s="31">
        <v>31601998.813704774</v>
      </c>
      <c r="Y27" s="31">
        <f>+S27*J27%</f>
        <v>21732694.58418477</v>
      </c>
      <c r="Z27" s="31">
        <f>+T27*J27%</f>
        <v>14945574.065543866</v>
      </c>
      <c r="AA27" s="31">
        <f t="shared" si="24"/>
        <v>10278071.284874516</v>
      </c>
      <c r="AB27" s="31">
        <f t="shared" si="17"/>
        <v>22632819.797016345</v>
      </c>
      <c r="AC27" s="31">
        <f t="shared" si="18"/>
        <v>7068229.6226082053</v>
      </c>
      <c r="AD27" s="31">
        <f t="shared" si="19"/>
        <v>15564590.17440814</v>
      </c>
      <c r="AE27" s="31">
        <v>0</v>
      </c>
      <c r="AF27" s="31">
        <f t="shared" si="20"/>
        <v>4860821.5114676617</v>
      </c>
      <c r="AG27" s="31">
        <f t="shared" si="21"/>
        <v>10703768.662940478</v>
      </c>
      <c r="AH27" s="31">
        <v>0</v>
      </c>
      <c r="AI27" s="31">
        <f t="shared" si="22"/>
        <v>3342786.9534363113</v>
      </c>
      <c r="AJ27" s="43">
        <f t="shared" si="6"/>
        <v>9.5000000000000001E-2</v>
      </c>
      <c r="AK27" s="38">
        <f t="shared" si="7"/>
        <v>321397306</v>
      </c>
      <c r="AL27" s="39">
        <f t="shared" si="23"/>
        <v>7360981.7095041666</v>
      </c>
      <c r="AM27" s="38">
        <f t="shared" si="11"/>
        <v>333601598.22235614</v>
      </c>
      <c r="AN27" s="38">
        <f t="shared" si="12"/>
        <v>0</v>
      </c>
      <c r="AO27" s="40">
        <f t="shared" si="13"/>
        <v>16069865.300000001</v>
      </c>
      <c r="AP27" s="25">
        <f t="shared" si="9"/>
        <v>-8708883.5904958341</v>
      </c>
    </row>
    <row r="28" spans="2:42" ht="30" x14ac:dyDescent="0.25">
      <c r="B28" s="27">
        <v>25</v>
      </c>
      <c r="C28" s="37" t="s">
        <v>76</v>
      </c>
      <c r="D28" s="28">
        <v>40634</v>
      </c>
      <c r="E28" s="28">
        <v>44621</v>
      </c>
      <c r="F28" s="44">
        <f t="shared" si="10"/>
        <v>10.923287671232877</v>
      </c>
      <c r="G28" s="29">
        <v>10</v>
      </c>
      <c r="H28" s="30">
        <v>1</v>
      </c>
      <c r="I28" s="33">
        <f>310524+435783</f>
        <v>746307</v>
      </c>
      <c r="J28" s="30">
        <v>31.23</v>
      </c>
      <c r="K28" s="32">
        <v>18.100000000000001</v>
      </c>
      <c r="L28" s="31">
        <v>0</v>
      </c>
      <c r="M28" s="31">
        <v>0</v>
      </c>
      <c r="N28" s="31">
        <v>0</v>
      </c>
      <c r="O28" s="31">
        <v>0</v>
      </c>
      <c r="P28" s="31">
        <v>163504.32389999996</v>
      </c>
      <c r="Q28" s="31">
        <v>112441.92354602997</v>
      </c>
      <c r="R28" s="31">
        <v>77326.310822604806</v>
      </c>
      <c r="S28" s="31">
        <v>53177.303952705319</v>
      </c>
      <c r="T28" s="31">
        <v>36570.03192827545</v>
      </c>
      <c r="U28" s="31">
        <v>0</v>
      </c>
      <c r="V28" s="31">
        <f t="shared" si="16"/>
        <v>25149.210957075025</v>
      </c>
      <c r="W28" s="31">
        <v>668980.68917739519</v>
      </c>
      <c r="X28" s="31">
        <v>24149.006869899487</v>
      </c>
      <c r="Y28" s="31">
        <f>+S28*J28%</f>
        <v>16607.272024429873</v>
      </c>
      <c r="Z28" s="31">
        <f>+T28*J28%</f>
        <v>11420.820971200425</v>
      </c>
      <c r="AA28" s="31">
        <f t="shared" si="24"/>
        <v>7854.0985818945301</v>
      </c>
      <c r="AB28" s="31">
        <f t="shared" si="17"/>
        <v>17295.112375180495</v>
      </c>
      <c r="AC28" s="31">
        <f t="shared" si="18"/>
        <v>5401.2635947688696</v>
      </c>
      <c r="AD28" s="31">
        <f t="shared" si="19"/>
        <v>11893.848780411627</v>
      </c>
      <c r="AE28" s="31">
        <v>0</v>
      </c>
      <c r="AF28" s="31">
        <f t="shared" si="20"/>
        <v>3714.4489741225511</v>
      </c>
      <c r="AG28" s="31">
        <f t="shared" si="21"/>
        <v>8179.3998062890751</v>
      </c>
      <c r="AH28" s="31">
        <v>0</v>
      </c>
      <c r="AI28" s="31">
        <f t="shared" si="22"/>
        <v>2554.4265595040783</v>
      </c>
      <c r="AJ28" s="43">
        <f t="shared" si="6"/>
        <v>9.5000000000000001E-2</v>
      </c>
      <c r="AK28" s="38">
        <f t="shared" si="7"/>
        <v>746307</v>
      </c>
      <c r="AL28" s="39">
        <f t="shared" si="23"/>
        <v>5624.9732467849972</v>
      </c>
      <c r="AM28" s="38">
        <f t="shared" si="11"/>
        <v>774451.9749452055</v>
      </c>
      <c r="AN28" s="38">
        <f t="shared" si="12"/>
        <v>0</v>
      </c>
      <c r="AO28" s="38">
        <f t="shared" si="13"/>
        <v>37315.35</v>
      </c>
      <c r="AP28" s="25">
        <f t="shared" si="9"/>
        <v>-31690.376753215001</v>
      </c>
    </row>
    <row r="29" spans="2:42" x14ac:dyDescent="0.25">
      <c r="B29" s="27">
        <v>26</v>
      </c>
      <c r="C29" s="36" t="s">
        <v>76</v>
      </c>
      <c r="D29" s="28">
        <v>40999</v>
      </c>
      <c r="E29" s="28">
        <v>44621</v>
      </c>
      <c r="F29" s="44">
        <f t="shared" si="10"/>
        <v>9.9232876712328775</v>
      </c>
      <c r="G29" s="29">
        <v>10</v>
      </c>
      <c r="H29" s="30">
        <v>1</v>
      </c>
      <c r="I29" s="34">
        <v>-1199669</v>
      </c>
      <c r="J29" s="30">
        <v>31.23</v>
      </c>
      <c r="K29" s="32">
        <v>18.100000000000001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f t="shared" si="16"/>
        <v>0</v>
      </c>
      <c r="W29" s="31">
        <v>-1199669</v>
      </c>
      <c r="X29" s="31">
        <v>0</v>
      </c>
      <c r="Y29" s="31">
        <f>+S29*J29%</f>
        <v>0</v>
      </c>
      <c r="Z29" s="31">
        <f>+T29*J29%</f>
        <v>0</v>
      </c>
      <c r="AA29" s="31">
        <f t="shared" si="24"/>
        <v>0</v>
      </c>
      <c r="AB29" s="31">
        <f t="shared" si="17"/>
        <v>0</v>
      </c>
      <c r="AC29" s="31">
        <f t="shared" si="18"/>
        <v>0</v>
      </c>
      <c r="AD29" s="31">
        <f t="shared" si="19"/>
        <v>0</v>
      </c>
      <c r="AE29" s="31">
        <v>0</v>
      </c>
      <c r="AF29" s="31">
        <f t="shared" si="20"/>
        <v>0</v>
      </c>
      <c r="AG29" s="31">
        <f t="shared" si="21"/>
        <v>0</v>
      </c>
      <c r="AH29" s="31">
        <v>0</v>
      </c>
      <c r="AI29" s="31">
        <f t="shared" si="22"/>
        <v>0</v>
      </c>
      <c r="AJ29" s="43">
        <f t="shared" si="6"/>
        <v>9.5000000000000001E-2</v>
      </c>
      <c r="AK29" s="38">
        <f t="shared" si="7"/>
        <v>-1199669</v>
      </c>
      <c r="AL29" s="39">
        <f t="shared" si="23"/>
        <v>0</v>
      </c>
      <c r="AM29" s="38">
        <v>0</v>
      </c>
      <c r="AN29" s="38">
        <f t="shared" si="12"/>
        <v>0</v>
      </c>
      <c r="AO29" s="38">
        <f t="shared" si="13"/>
        <v>0</v>
      </c>
      <c r="AP29" s="25">
        <f t="shared" si="9"/>
        <v>0</v>
      </c>
    </row>
    <row r="30" spans="2:42" x14ac:dyDescent="0.25">
      <c r="B30" s="27">
        <v>27</v>
      </c>
      <c r="C30" s="36" t="s">
        <v>76</v>
      </c>
      <c r="D30" s="28">
        <v>42825</v>
      </c>
      <c r="E30" s="28">
        <v>44621</v>
      </c>
      <c r="F30" s="44">
        <f t="shared" si="10"/>
        <v>4.9205479452054792</v>
      </c>
      <c r="G30" s="29">
        <v>10</v>
      </c>
      <c r="H30" s="30">
        <v>1</v>
      </c>
      <c r="I30" s="34">
        <f>U30</f>
        <v>662010</v>
      </c>
      <c r="J30" s="30">
        <v>31.23</v>
      </c>
      <c r="K30" s="32">
        <v>18.100000000000001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662010</v>
      </c>
      <c r="V30" s="31">
        <f t="shared" si="16"/>
        <v>662010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f t="shared" si="17"/>
        <v>662010</v>
      </c>
      <c r="AC30" s="31">
        <f t="shared" si="18"/>
        <v>206745.723</v>
      </c>
      <c r="AD30" s="31">
        <f t="shared" si="19"/>
        <v>455264.277</v>
      </c>
      <c r="AE30" s="31">
        <v>0</v>
      </c>
      <c r="AF30" s="31">
        <f t="shared" si="20"/>
        <v>142179.0337071</v>
      </c>
      <c r="AG30" s="31">
        <f t="shared" si="21"/>
        <v>313085.24329290004</v>
      </c>
      <c r="AH30" s="31">
        <v>0</v>
      </c>
      <c r="AI30" s="31">
        <f t="shared" si="22"/>
        <v>97776.521480372685</v>
      </c>
      <c r="AJ30" s="43">
        <f t="shared" si="6"/>
        <v>9.5000000000000001E-2</v>
      </c>
      <c r="AK30" s="38">
        <f t="shared" si="7"/>
        <v>1324020</v>
      </c>
      <c r="AL30" s="39">
        <f t="shared" si="23"/>
        <v>215308.72181252734</v>
      </c>
      <c r="AM30" s="38">
        <f t="shared" ref="AM30:AM39" si="25">AJ30*AK30*F30</f>
        <v>618915.8695890411</v>
      </c>
      <c r="AN30" s="38">
        <f t="shared" si="12"/>
        <v>705104.1304109589</v>
      </c>
      <c r="AO30" s="38">
        <f t="shared" si="13"/>
        <v>634593.71736986306</v>
      </c>
      <c r="AP30" s="25">
        <f t="shared" si="9"/>
        <v>-419284.99555733573</v>
      </c>
    </row>
    <row r="31" spans="2:42" x14ac:dyDescent="0.25">
      <c r="B31" s="27">
        <v>28</v>
      </c>
      <c r="C31" s="36" t="s">
        <v>76</v>
      </c>
      <c r="D31" s="28">
        <v>44135</v>
      </c>
      <c r="E31" s="28">
        <v>44621</v>
      </c>
      <c r="F31" s="44">
        <f t="shared" si="10"/>
        <v>1.3315068493150686</v>
      </c>
      <c r="G31" s="29">
        <v>10</v>
      </c>
      <c r="H31" s="30">
        <v>1</v>
      </c>
      <c r="I31" s="33">
        <f>AH31</f>
        <v>386174.6</v>
      </c>
      <c r="J31" s="30">
        <v>31.23</v>
      </c>
      <c r="K31" s="32">
        <v>18.100000000000001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386174.6</v>
      </c>
      <c r="AI31" s="31">
        <v>28916.542445479452</v>
      </c>
      <c r="AJ31" s="43">
        <f t="shared" si="6"/>
        <v>9.5000000000000001E-2</v>
      </c>
      <c r="AK31" s="38">
        <f t="shared" si="7"/>
        <v>772349.2</v>
      </c>
      <c r="AL31" s="39">
        <f>AH31-AI31</f>
        <v>357258.05755452055</v>
      </c>
      <c r="AM31" s="38">
        <f t="shared" si="25"/>
        <v>97696.883736986303</v>
      </c>
      <c r="AN31" s="38">
        <f t="shared" si="12"/>
        <v>674652.31626301364</v>
      </c>
      <c r="AO31" s="38">
        <f t="shared" si="13"/>
        <v>607187.08463671233</v>
      </c>
      <c r="AP31" s="25">
        <f t="shared" si="9"/>
        <v>-249929.02708219178</v>
      </c>
    </row>
    <row r="32" spans="2:42" x14ac:dyDescent="0.25">
      <c r="B32" s="27">
        <v>29</v>
      </c>
      <c r="C32" s="36" t="s">
        <v>76</v>
      </c>
      <c r="D32" s="28">
        <v>44196</v>
      </c>
      <c r="E32" s="28">
        <v>44621</v>
      </c>
      <c r="F32" s="44">
        <f t="shared" si="10"/>
        <v>1.1643835616438356</v>
      </c>
      <c r="G32" s="29">
        <v>10</v>
      </c>
      <c r="H32" s="30">
        <v>1</v>
      </c>
      <c r="I32" s="33">
        <f>AH32</f>
        <v>52620.78</v>
      </c>
      <c r="J32" s="30">
        <v>31.23</v>
      </c>
      <c r="K32" s="32">
        <v>18.100000000000001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52620.78</v>
      </c>
      <c r="AI32" s="31">
        <v>2348.4726197260279</v>
      </c>
      <c r="AJ32" s="43">
        <f t="shared" si="6"/>
        <v>9.5000000000000001E-2</v>
      </c>
      <c r="AK32" s="38">
        <f t="shared" si="7"/>
        <v>105241.56</v>
      </c>
      <c r="AL32" s="39">
        <f>AH32-AI32</f>
        <v>50272.307380273967</v>
      </c>
      <c r="AM32" s="38">
        <f t="shared" si="25"/>
        <v>11641.446534246576</v>
      </c>
      <c r="AN32" s="38">
        <f t="shared" si="12"/>
        <v>93600.113465753428</v>
      </c>
      <c r="AO32" s="38">
        <f t="shared" si="13"/>
        <v>84240.102119178089</v>
      </c>
      <c r="AP32" s="25">
        <f t="shared" si="9"/>
        <v>-33967.794738904122</v>
      </c>
    </row>
    <row r="33" spans="2:42" x14ac:dyDescent="0.25">
      <c r="B33" s="27">
        <v>30</v>
      </c>
      <c r="C33" s="36" t="s">
        <v>76</v>
      </c>
      <c r="D33" s="28">
        <v>44286</v>
      </c>
      <c r="E33" s="28">
        <v>44621</v>
      </c>
      <c r="F33" s="44">
        <f t="shared" si="10"/>
        <v>0.9178082191780822</v>
      </c>
      <c r="G33" s="29">
        <v>10</v>
      </c>
      <c r="H33" s="30">
        <v>1</v>
      </c>
      <c r="I33" s="33">
        <f>AH33</f>
        <v>24800</v>
      </c>
      <c r="J33" s="30">
        <v>31.23</v>
      </c>
      <c r="K33" s="32">
        <v>18.100000000000001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24800</v>
      </c>
      <c r="AI33" s="31">
        <v>0</v>
      </c>
      <c r="AJ33" s="43">
        <f t="shared" si="6"/>
        <v>9.5000000000000001E-2</v>
      </c>
      <c r="AK33" s="38">
        <f t="shared" si="7"/>
        <v>49600</v>
      </c>
      <c r="AL33" s="39">
        <f>AH33-AI33</f>
        <v>24800</v>
      </c>
      <c r="AM33" s="38">
        <f t="shared" si="25"/>
        <v>4324.7123287671229</v>
      </c>
      <c r="AN33" s="38">
        <f t="shared" si="12"/>
        <v>45275.28767123288</v>
      </c>
      <c r="AO33" s="38">
        <f t="shared" si="13"/>
        <v>40747.758904109593</v>
      </c>
      <c r="AP33" s="25">
        <f t="shared" si="9"/>
        <v>-15947.758904109593</v>
      </c>
    </row>
    <row r="34" spans="2:42" x14ac:dyDescent="0.25">
      <c r="B34" s="27">
        <v>31</v>
      </c>
      <c r="C34" s="36" t="s">
        <v>77</v>
      </c>
      <c r="D34" s="28">
        <v>40602</v>
      </c>
      <c r="E34" s="28">
        <v>44621</v>
      </c>
      <c r="F34" s="44">
        <f t="shared" si="10"/>
        <v>11.010958904109589</v>
      </c>
      <c r="G34" s="29">
        <v>12</v>
      </c>
      <c r="H34" s="30">
        <v>1</v>
      </c>
      <c r="I34" s="33">
        <v>25813</v>
      </c>
      <c r="J34" s="30">
        <v>18.100000000000001</v>
      </c>
      <c r="K34" s="32">
        <v>13.91</v>
      </c>
      <c r="L34" s="31">
        <v>0</v>
      </c>
      <c r="M34" s="31">
        <v>0</v>
      </c>
      <c r="N34" s="31">
        <v>0</v>
      </c>
      <c r="O34" s="31">
        <v>25390.586167123289</v>
      </c>
      <c r="P34" s="31">
        <v>20794.890070873975</v>
      </c>
      <c r="Q34" s="31">
        <v>17031.014968045783</v>
      </c>
      <c r="R34" s="31">
        <v>13948.401258829497</v>
      </c>
      <c r="S34" s="31">
        <v>11423.740630981358</v>
      </c>
      <c r="T34" s="31">
        <v>9356.0435767737326</v>
      </c>
      <c r="U34" s="31">
        <v>0</v>
      </c>
      <c r="V34" s="31">
        <f t="shared" ref="V34:V38" si="26">+T34+U34-Z34</f>
        <v>7662.5996893776864</v>
      </c>
      <c r="W34" s="31">
        <v>11864.598741170503</v>
      </c>
      <c r="X34" s="31">
        <v>2524.6606278481395</v>
      </c>
      <c r="Y34" s="31">
        <f t="shared" ref="Y34:Y39" si="27">+S34*J34%</f>
        <v>2067.697054207626</v>
      </c>
      <c r="Z34" s="31">
        <f t="shared" ref="Z34:Z39" si="28">+T34*J34%</f>
        <v>1693.4438873960457</v>
      </c>
      <c r="AA34" s="31">
        <f t="shared" ref="AA34:AA39" si="29">+V34*J34/100</f>
        <v>1386.9305437773614</v>
      </c>
      <c r="AB34" s="31">
        <f t="shared" ref="AB34:AB39" si="30">+V34-AA34</f>
        <v>6275.6691456003246</v>
      </c>
      <c r="AC34" s="31">
        <f t="shared" ref="AC34:AC39" si="31">AB34*J34/100</f>
        <v>1135.8961153536588</v>
      </c>
      <c r="AD34" s="31">
        <f>AB34-AC34</f>
        <v>5139.7730302466662</v>
      </c>
      <c r="AE34" s="31">
        <v>0</v>
      </c>
      <c r="AF34" s="31">
        <f t="shared" ref="AF34:AF39" si="32">AD34*J34/100</f>
        <v>930.2989184746466</v>
      </c>
      <c r="AG34" s="31">
        <f t="shared" ref="AG34:AG39" si="33">AD34-AF34</f>
        <v>4209.4741117720196</v>
      </c>
      <c r="AH34" s="31">
        <v>0</v>
      </c>
      <c r="AI34" s="31">
        <f t="shared" si="22"/>
        <v>761.9148142307356</v>
      </c>
      <c r="AJ34" s="43">
        <f t="shared" si="6"/>
        <v>7.9166666666666663E-2</v>
      </c>
      <c r="AK34" s="38">
        <f t="shared" si="7"/>
        <v>25813</v>
      </c>
      <c r="AL34" s="39">
        <f t="shared" ref="AL34:AL39" si="34">AG34-AI34</f>
        <v>3447.5592975412837</v>
      </c>
      <c r="AM34" s="38">
        <f t="shared" si="25"/>
        <v>22501.215673515981</v>
      </c>
      <c r="AN34" s="38">
        <f t="shared" si="12"/>
        <v>3311.7843264840194</v>
      </c>
      <c r="AO34" s="38">
        <f t="shared" si="13"/>
        <v>2980.6058938356177</v>
      </c>
      <c r="AP34" s="25">
        <f t="shared" si="9"/>
        <v>466.95340370566601</v>
      </c>
    </row>
    <row r="35" spans="2:42" x14ac:dyDescent="0.25">
      <c r="B35" s="27">
        <v>32</v>
      </c>
      <c r="C35" s="36" t="s">
        <v>77</v>
      </c>
      <c r="D35" s="28">
        <v>40602</v>
      </c>
      <c r="E35" s="28">
        <v>44621</v>
      </c>
      <c r="F35" s="44">
        <f t="shared" si="10"/>
        <v>11.010958904109589</v>
      </c>
      <c r="G35" s="29">
        <v>12</v>
      </c>
      <c r="H35" s="30">
        <v>1</v>
      </c>
      <c r="I35" s="33">
        <v>32773</v>
      </c>
      <c r="J35" s="30">
        <v>18.100000000000001</v>
      </c>
      <c r="K35" s="32">
        <v>13.91</v>
      </c>
      <c r="L35" s="31">
        <v>0</v>
      </c>
      <c r="M35" s="31">
        <v>0</v>
      </c>
      <c r="N35" s="31">
        <v>0</v>
      </c>
      <c r="O35" s="31">
        <v>32236.690057534248</v>
      </c>
      <c r="P35" s="31">
        <v>26401.849157120549</v>
      </c>
      <c r="Q35" s="31">
        <v>21623.114459681728</v>
      </c>
      <c r="R35" s="31">
        <v>17709.330742479335</v>
      </c>
      <c r="S35" s="31">
        <v>14503.941878090574</v>
      </c>
      <c r="T35" s="31">
        <v>11878.72839815618</v>
      </c>
      <c r="U35" s="31">
        <v>0</v>
      </c>
      <c r="V35" s="31">
        <f t="shared" si="26"/>
        <v>9728.6785580899104</v>
      </c>
      <c r="W35" s="31">
        <v>15063.669257520665</v>
      </c>
      <c r="X35" s="31">
        <v>3205.3888643887603</v>
      </c>
      <c r="Y35" s="31">
        <f t="shared" si="27"/>
        <v>2625.2134799343944</v>
      </c>
      <c r="Z35" s="31">
        <f t="shared" si="28"/>
        <v>2150.0498400662686</v>
      </c>
      <c r="AA35" s="31">
        <f t="shared" si="29"/>
        <v>1760.8908190142738</v>
      </c>
      <c r="AB35" s="31">
        <f t="shared" si="30"/>
        <v>7967.7877390756366</v>
      </c>
      <c r="AC35" s="31">
        <f t="shared" si="31"/>
        <v>1442.1695807726903</v>
      </c>
      <c r="AD35" s="31">
        <f>AB35-AC35</f>
        <v>6525.6181583029465</v>
      </c>
      <c r="AE35" s="31">
        <v>0</v>
      </c>
      <c r="AF35" s="31">
        <f t="shared" si="32"/>
        <v>1181.1368866528333</v>
      </c>
      <c r="AG35" s="31">
        <f t="shared" si="33"/>
        <v>5344.4812716501128</v>
      </c>
      <c r="AH35" s="31">
        <v>0</v>
      </c>
      <c r="AI35" s="31">
        <f t="shared" si="22"/>
        <v>967.35111016867052</v>
      </c>
      <c r="AJ35" s="43">
        <f t="shared" si="6"/>
        <v>7.9166666666666663E-2</v>
      </c>
      <c r="AK35" s="38">
        <f t="shared" si="7"/>
        <v>32773</v>
      </c>
      <c r="AL35" s="39">
        <f t="shared" si="34"/>
        <v>4377.130161481442</v>
      </c>
      <c r="AM35" s="38">
        <f t="shared" si="25"/>
        <v>28568.254029680367</v>
      </c>
      <c r="AN35" s="38">
        <f t="shared" si="12"/>
        <v>4204.7459703196328</v>
      </c>
      <c r="AO35" s="38">
        <f t="shared" si="13"/>
        <v>3784.2713732876696</v>
      </c>
      <c r="AP35" s="25">
        <f t="shared" si="9"/>
        <v>592.8587881937724</v>
      </c>
    </row>
    <row r="36" spans="2:42" x14ac:dyDescent="0.25">
      <c r="B36" s="27">
        <v>33</v>
      </c>
      <c r="C36" s="36" t="s">
        <v>77</v>
      </c>
      <c r="D36" s="28">
        <v>40602</v>
      </c>
      <c r="E36" s="28">
        <v>44621</v>
      </c>
      <c r="F36" s="44">
        <f t="shared" si="10"/>
        <v>11.010958904109589</v>
      </c>
      <c r="G36" s="29">
        <v>12</v>
      </c>
      <c r="H36" s="30">
        <v>1</v>
      </c>
      <c r="I36" s="33">
        <v>1073703333</v>
      </c>
      <c r="J36" s="30">
        <v>18.100000000000001</v>
      </c>
      <c r="K36" s="32">
        <v>13.91</v>
      </c>
      <c r="L36" s="31">
        <v>0</v>
      </c>
      <c r="M36" s="31">
        <v>0</v>
      </c>
      <c r="N36" s="31">
        <v>0</v>
      </c>
      <c r="O36" s="31">
        <v>1055919336.8273726</v>
      </c>
      <c r="P36" s="31">
        <v>864797936.86161804</v>
      </c>
      <c r="Q36" s="31">
        <v>708269510.28966522</v>
      </c>
      <c r="R36" s="31">
        <v>580072728.92723584</v>
      </c>
      <c r="S36" s="31">
        <v>475079564.99140614</v>
      </c>
      <c r="T36" s="31">
        <v>389090163.7279616</v>
      </c>
      <c r="U36" s="31">
        <v>0</v>
      </c>
      <c r="V36" s="31">
        <f t="shared" si="26"/>
        <v>318664844.09320056</v>
      </c>
      <c r="W36" s="31">
        <v>493630604.07276416</v>
      </c>
      <c r="X36" s="31">
        <v>104993163.9358297</v>
      </c>
      <c r="Y36" s="31">
        <f t="shared" si="27"/>
        <v>85989401.263444528</v>
      </c>
      <c r="Z36" s="31">
        <f t="shared" si="28"/>
        <v>70425319.634761065</v>
      </c>
      <c r="AA36" s="31">
        <f t="shared" si="29"/>
        <v>57678336.780869305</v>
      </c>
      <c r="AB36" s="31">
        <f t="shared" si="30"/>
        <v>260986507.31233126</v>
      </c>
      <c r="AC36" s="31">
        <f t="shared" si="31"/>
        <v>47238557.823531963</v>
      </c>
      <c r="AD36" s="31">
        <f>AB36-AC36-2500000</f>
        <v>211247949.4887993</v>
      </c>
      <c r="AE36" s="31">
        <v>0</v>
      </c>
      <c r="AF36" s="31">
        <f t="shared" si="32"/>
        <v>38235878.857472681</v>
      </c>
      <c r="AG36" s="31">
        <f t="shared" si="33"/>
        <v>173012070.63132662</v>
      </c>
      <c r="AH36" s="31">
        <v>0</v>
      </c>
      <c r="AI36" s="31">
        <f t="shared" si="22"/>
        <v>31315184.784270119</v>
      </c>
      <c r="AJ36" s="43">
        <f t="shared" ref="AJ36:AJ67" si="35">(1-5%)/G36</f>
        <v>7.9166666666666663E-2</v>
      </c>
      <c r="AK36" s="38">
        <f t="shared" ref="AK36:AK67" si="36">I36+U36+AE36+AH36</f>
        <v>1073703333</v>
      </c>
      <c r="AL36" s="39">
        <f t="shared" si="34"/>
        <v>141696885.84705651</v>
      </c>
      <c r="AM36" s="38">
        <f t="shared" si="25"/>
        <v>935948175.9270891</v>
      </c>
      <c r="AN36" s="38">
        <f t="shared" si="12"/>
        <v>137755157.0729109</v>
      </c>
      <c r="AO36" s="40">
        <f t="shared" si="13"/>
        <v>123979641.36561982</v>
      </c>
      <c r="AP36" s="25">
        <f t="shared" ref="AP36:AP67" si="37">AL36-AO36</f>
        <v>17717244.481436685</v>
      </c>
    </row>
    <row r="37" spans="2:42" x14ac:dyDescent="0.25">
      <c r="B37" s="27">
        <v>34</v>
      </c>
      <c r="C37" s="36" t="s">
        <v>77</v>
      </c>
      <c r="D37" s="28">
        <v>40854</v>
      </c>
      <c r="E37" s="28">
        <v>44621</v>
      </c>
      <c r="F37" s="44">
        <f t="shared" si="10"/>
        <v>10.32054794520548</v>
      </c>
      <c r="G37" s="29">
        <v>12</v>
      </c>
      <c r="H37" s="30">
        <v>1</v>
      </c>
      <c r="I37" s="33">
        <v>40754928</v>
      </c>
      <c r="J37" s="30">
        <v>18.100000000000001</v>
      </c>
      <c r="K37" s="32">
        <v>13.91</v>
      </c>
      <c r="L37" s="31">
        <v>0</v>
      </c>
      <c r="M37" s="31">
        <v>0</v>
      </c>
      <c r="N37" s="31">
        <v>0</v>
      </c>
      <c r="O37" s="31">
        <v>0</v>
      </c>
      <c r="P37" s="31">
        <v>37825740.19079452</v>
      </c>
      <c r="Q37" s="31">
        <v>30979281.216260709</v>
      </c>
      <c r="R37" s="31">
        <v>25372031.316117518</v>
      </c>
      <c r="S37" s="31">
        <v>20779693.647900246</v>
      </c>
      <c r="T37" s="31">
        <v>17018569.0976303</v>
      </c>
      <c r="U37" s="31">
        <v>0</v>
      </c>
      <c r="V37" s="31">
        <f t="shared" si="26"/>
        <v>13938208.090959216</v>
      </c>
      <c r="W37" s="31">
        <v>15382896.683882482</v>
      </c>
      <c r="X37" s="31">
        <v>4592337.6682172716</v>
      </c>
      <c r="Y37" s="31">
        <f t="shared" si="27"/>
        <v>3761124.5502699451</v>
      </c>
      <c r="Z37" s="31">
        <f t="shared" si="28"/>
        <v>3080361.0066710846</v>
      </c>
      <c r="AA37" s="31">
        <f t="shared" si="29"/>
        <v>2522815.6644636183</v>
      </c>
      <c r="AB37" s="31">
        <f t="shared" si="30"/>
        <v>11415392.426495597</v>
      </c>
      <c r="AC37" s="31">
        <f t="shared" si="31"/>
        <v>2066186.0291957033</v>
      </c>
      <c r="AD37" s="31">
        <f>AB37-AC37</f>
        <v>9349206.3972998932</v>
      </c>
      <c r="AE37" s="31">
        <v>0</v>
      </c>
      <c r="AF37" s="31">
        <f t="shared" si="32"/>
        <v>1692206.3579112806</v>
      </c>
      <c r="AG37" s="31">
        <f t="shared" si="33"/>
        <v>7657000.0393886128</v>
      </c>
      <c r="AH37" s="31">
        <v>0</v>
      </c>
      <c r="AI37" s="31">
        <f t="shared" si="22"/>
        <v>1385917.007129339</v>
      </c>
      <c r="AJ37" s="43">
        <f t="shared" si="35"/>
        <v>7.9166666666666663E-2</v>
      </c>
      <c r="AK37" s="38">
        <f t="shared" si="36"/>
        <v>40754928</v>
      </c>
      <c r="AL37" s="39">
        <f t="shared" si="34"/>
        <v>6271083.0322592743</v>
      </c>
      <c r="AM37" s="38">
        <f t="shared" si="25"/>
        <v>33298544.083835617</v>
      </c>
      <c r="AN37" s="38">
        <f t="shared" ref="AN37:AN67" si="38">MAX(AK37-AM37,0)</f>
        <v>7456383.9161643833</v>
      </c>
      <c r="AO37" s="40">
        <f t="shared" ref="AO37:AO67" si="39">IF(AN37&lt;=5%*I37,I37*5%,AN37*(1-10%))</f>
        <v>6710745.5245479448</v>
      </c>
      <c r="AP37" s="25">
        <f t="shared" si="37"/>
        <v>-439662.4922886705</v>
      </c>
    </row>
    <row r="38" spans="2:42" x14ac:dyDescent="0.25">
      <c r="B38" s="27">
        <v>35</v>
      </c>
      <c r="C38" s="36" t="s">
        <v>77</v>
      </c>
      <c r="D38" s="28">
        <v>41312</v>
      </c>
      <c r="E38" s="28">
        <v>44621</v>
      </c>
      <c r="F38" s="44">
        <f t="shared" si="10"/>
        <v>9.0657534246575349</v>
      </c>
      <c r="G38" s="29">
        <v>12</v>
      </c>
      <c r="H38" s="30">
        <v>1</v>
      </c>
      <c r="I38" s="33">
        <f>816733-72936</f>
        <v>743797</v>
      </c>
      <c r="J38" s="30">
        <v>18.100000000000001</v>
      </c>
      <c r="K38" s="32">
        <v>13.91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724694.22640000004</v>
      </c>
      <c r="R38" s="31">
        <v>593524.57142159995</v>
      </c>
      <c r="S38" s="31">
        <v>486096.62399429036</v>
      </c>
      <c r="T38" s="31">
        <v>398113.1350513238</v>
      </c>
      <c r="U38" s="31">
        <v>0</v>
      </c>
      <c r="V38" s="31">
        <f t="shared" si="26"/>
        <v>326054.6576070342</v>
      </c>
      <c r="W38" s="31">
        <v>150272.42857840005</v>
      </c>
      <c r="X38" s="31">
        <v>107427.94742730958</v>
      </c>
      <c r="Y38" s="31">
        <f t="shared" si="27"/>
        <v>87983.488942966564</v>
      </c>
      <c r="Z38" s="31">
        <f t="shared" si="28"/>
        <v>72058.477444289616</v>
      </c>
      <c r="AA38" s="31">
        <f t="shared" si="29"/>
        <v>59015.893026873193</v>
      </c>
      <c r="AB38" s="31">
        <f t="shared" si="30"/>
        <v>267038.76458016102</v>
      </c>
      <c r="AC38" s="31">
        <f t="shared" si="31"/>
        <v>48334.01638900915</v>
      </c>
      <c r="AD38" s="31">
        <f>AB38-AC38</f>
        <v>218704.74819115188</v>
      </c>
      <c r="AE38" s="31">
        <v>0</v>
      </c>
      <c r="AF38" s="31">
        <f t="shared" si="32"/>
        <v>39585.559422598497</v>
      </c>
      <c r="AG38" s="31">
        <f t="shared" si="33"/>
        <v>179119.18876855337</v>
      </c>
      <c r="AH38" s="31">
        <v>0</v>
      </c>
      <c r="AI38" s="31">
        <f t="shared" si="22"/>
        <v>32420.573167108163</v>
      </c>
      <c r="AJ38" s="43">
        <f t="shared" si="35"/>
        <v>7.9166666666666663E-2</v>
      </c>
      <c r="AK38" s="38">
        <f t="shared" si="36"/>
        <v>743797</v>
      </c>
      <c r="AL38" s="39">
        <f t="shared" si="34"/>
        <v>146698.6156014452</v>
      </c>
      <c r="AM38" s="38">
        <f t="shared" si="25"/>
        <v>533827.1825</v>
      </c>
      <c r="AN38" s="38">
        <f t="shared" si="38"/>
        <v>209969.8175</v>
      </c>
      <c r="AO38" s="38">
        <f t="shared" si="39"/>
        <v>188972.83575</v>
      </c>
      <c r="AP38" s="25">
        <f t="shared" si="37"/>
        <v>-42274.220148554799</v>
      </c>
    </row>
    <row r="39" spans="2:42" x14ac:dyDescent="0.25">
      <c r="B39" s="27">
        <v>36</v>
      </c>
      <c r="C39" s="36" t="s">
        <v>77</v>
      </c>
      <c r="D39" s="28">
        <v>41312</v>
      </c>
      <c r="E39" s="28">
        <v>44621</v>
      </c>
      <c r="F39" s="44">
        <f t="shared" si="10"/>
        <v>9.0657534246575349</v>
      </c>
      <c r="G39" s="29">
        <v>12</v>
      </c>
      <c r="H39" s="30">
        <v>1</v>
      </c>
      <c r="I39" s="33">
        <v>554841</v>
      </c>
      <c r="J39" s="30">
        <v>18.100000000000001</v>
      </c>
      <c r="K39" s="32">
        <v>13.91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488453.18010684929</v>
      </c>
      <c r="S39" s="31">
        <v>400043.15450750955</v>
      </c>
      <c r="T39" s="31">
        <v>327635.34354165033</v>
      </c>
      <c r="U39" s="31">
        <v>0</v>
      </c>
      <c r="V39" s="31">
        <f>+T39+U39-Z39</f>
        <v>268333.34636061161</v>
      </c>
      <c r="W39" s="31">
        <v>66387.819893150707</v>
      </c>
      <c r="X39" s="31">
        <v>88410.025599339744</v>
      </c>
      <c r="Y39" s="31">
        <f t="shared" si="27"/>
        <v>72407.810965859244</v>
      </c>
      <c r="Z39" s="31">
        <f t="shared" si="28"/>
        <v>59301.997181038714</v>
      </c>
      <c r="AA39" s="31">
        <f t="shared" si="29"/>
        <v>48568.33569127071</v>
      </c>
      <c r="AB39" s="31">
        <f t="shared" si="30"/>
        <v>219765.0106693409</v>
      </c>
      <c r="AC39" s="31">
        <f t="shared" si="31"/>
        <v>39777.466931150702</v>
      </c>
      <c r="AD39" s="31">
        <f>AB39-AC39</f>
        <v>179987.5437381902</v>
      </c>
      <c r="AE39" s="31">
        <v>0</v>
      </c>
      <c r="AF39" s="31">
        <f t="shared" si="32"/>
        <v>32577.74541661243</v>
      </c>
      <c r="AG39" s="31">
        <f t="shared" si="33"/>
        <v>147409.79832157778</v>
      </c>
      <c r="AH39" s="31">
        <v>0</v>
      </c>
      <c r="AI39" s="31">
        <f t="shared" si="22"/>
        <v>26681.173496205578</v>
      </c>
      <c r="AJ39" s="43">
        <f t="shared" si="35"/>
        <v>7.9166666666666663E-2</v>
      </c>
      <c r="AK39" s="38">
        <f t="shared" si="36"/>
        <v>554841</v>
      </c>
      <c r="AL39" s="39">
        <f t="shared" si="34"/>
        <v>120728.6248253722</v>
      </c>
      <c r="AM39" s="38">
        <f t="shared" si="25"/>
        <v>398212.42592465755</v>
      </c>
      <c r="AN39" s="38">
        <f t="shared" si="38"/>
        <v>156628.57407534245</v>
      </c>
      <c r="AO39" s="38">
        <f t="shared" si="39"/>
        <v>140965.71666780821</v>
      </c>
      <c r="AP39" s="25">
        <f t="shared" si="37"/>
        <v>-20237.091842436013</v>
      </c>
    </row>
    <row r="40" spans="2:42" x14ac:dyDescent="0.25">
      <c r="B40" s="27">
        <v>37</v>
      </c>
      <c r="C40" s="36" t="s">
        <v>77</v>
      </c>
      <c r="D40" s="28">
        <v>43190</v>
      </c>
      <c r="E40" s="28">
        <v>44621</v>
      </c>
      <c r="F40" s="44">
        <f t="shared" si="10"/>
        <v>3.9205479452054797</v>
      </c>
      <c r="G40" s="29">
        <v>12</v>
      </c>
      <c r="H40" s="30">
        <v>1</v>
      </c>
      <c r="I40" s="33">
        <v>-2500000</v>
      </c>
      <c r="J40" s="30">
        <v>18.100000000000001</v>
      </c>
      <c r="K40" s="32">
        <v>13.91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43">
        <f t="shared" si="35"/>
        <v>7.9166666666666663E-2</v>
      </c>
      <c r="AK40" s="38">
        <f t="shared" si="36"/>
        <v>-2500000</v>
      </c>
      <c r="AL40" s="39">
        <v>0</v>
      </c>
      <c r="AM40" s="38">
        <v>0</v>
      </c>
      <c r="AN40" s="38">
        <f t="shared" si="38"/>
        <v>0</v>
      </c>
      <c r="AO40" s="38">
        <f t="shared" si="39"/>
        <v>0</v>
      </c>
      <c r="AP40" s="25">
        <f t="shared" si="37"/>
        <v>0</v>
      </c>
    </row>
    <row r="41" spans="2:42" x14ac:dyDescent="0.25">
      <c r="B41" s="27">
        <v>38</v>
      </c>
      <c r="C41" s="36" t="s">
        <v>77</v>
      </c>
      <c r="D41" s="28">
        <v>43602</v>
      </c>
      <c r="E41" s="28">
        <v>44621</v>
      </c>
      <c r="F41" s="44">
        <f t="shared" si="10"/>
        <v>2.7917808219178082</v>
      </c>
      <c r="G41" s="29">
        <v>12</v>
      </c>
      <c r="H41" s="30">
        <v>1</v>
      </c>
      <c r="I41" s="33">
        <f t="shared" ref="I41:I48" si="40">AE41</f>
        <v>152846</v>
      </c>
      <c r="J41" s="30">
        <v>18.100000000000001</v>
      </c>
      <c r="K41" s="32">
        <v>13.91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152846</v>
      </c>
      <c r="AF41" s="31">
        <v>24178.562175342471</v>
      </c>
      <c r="AG41" s="31">
        <f t="shared" ref="AG41:AG48" si="41">AE41-AF41</f>
        <v>128667.43782465754</v>
      </c>
      <c r="AH41" s="31">
        <v>0</v>
      </c>
      <c r="AI41" s="31">
        <f t="shared" si="22"/>
        <v>23288.806246263019</v>
      </c>
      <c r="AJ41" s="43">
        <f t="shared" si="35"/>
        <v>7.9166666666666663E-2</v>
      </c>
      <c r="AK41" s="38">
        <f t="shared" si="36"/>
        <v>305692</v>
      </c>
      <c r="AL41" s="39">
        <f t="shared" ref="AL41:AL59" si="42">AG41-AI41</f>
        <v>105378.63157839452</v>
      </c>
      <c r="AM41" s="38">
        <f t="shared" ref="AM41:AM67" si="43">AJ41*AK41*F41</f>
        <v>67562.817488584464</v>
      </c>
      <c r="AN41" s="38">
        <f t="shared" si="38"/>
        <v>238129.18251141554</v>
      </c>
      <c r="AO41" s="38">
        <f t="shared" si="39"/>
        <v>214316.26426027398</v>
      </c>
      <c r="AP41" s="25">
        <f t="shared" si="37"/>
        <v>-108937.63268187946</v>
      </c>
    </row>
    <row r="42" spans="2:42" x14ac:dyDescent="0.25">
      <c r="B42" s="27">
        <v>39</v>
      </c>
      <c r="C42" s="36" t="s">
        <v>77</v>
      </c>
      <c r="D42" s="28">
        <v>43616</v>
      </c>
      <c r="E42" s="28">
        <v>44621</v>
      </c>
      <c r="F42" s="44">
        <f t="shared" si="10"/>
        <v>2.7534246575342465</v>
      </c>
      <c r="G42" s="29">
        <v>12</v>
      </c>
      <c r="H42" s="30">
        <v>1</v>
      </c>
      <c r="I42" s="33">
        <f t="shared" si="40"/>
        <v>583338</v>
      </c>
      <c r="J42" s="30">
        <v>18.100000000000001</v>
      </c>
      <c r="K42" s="32">
        <v>13.91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583338</v>
      </c>
      <c r="AF42" s="31">
        <v>88227.8747671233</v>
      </c>
      <c r="AG42" s="31">
        <f t="shared" si="41"/>
        <v>495110.12523287669</v>
      </c>
      <c r="AH42" s="31">
        <v>0</v>
      </c>
      <c r="AI42" s="31">
        <f t="shared" si="22"/>
        <v>89614.932667150686</v>
      </c>
      <c r="AJ42" s="43">
        <f t="shared" si="35"/>
        <v>7.9166666666666663E-2</v>
      </c>
      <c r="AK42" s="38">
        <f t="shared" si="36"/>
        <v>1166676</v>
      </c>
      <c r="AL42" s="39">
        <f t="shared" si="42"/>
        <v>405495.192565726</v>
      </c>
      <c r="AM42" s="38">
        <f t="shared" si="43"/>
        <v>254311.39520547941</v>
      </c>
      <c r="AN42" s="38">
        <f t="shared" si="38"/>
        <v>912364.60479452065</v>
      </c>
      <c r="AO42" s="38">
        <f t="shared" si="39"/>
        <v>821128.14431506861</v>
      </c>
      <c r="AP42" s="25">
        <f t="shared" si="37"/>
        <v>-415632.95174934261</v>
      </c>
    </row>
    <row r="43" spans="2:42" x14ac:dyDescent="0.25">
      <c r="B43" s="27">
        <v>40</v>
      </c>
      <c r="C43" s="36" t="s">
        <v>77</v>
      </c>
      <c r="D43" s="28">
        <v>43677</v>
      </c>
      <c r="E43" s="28">
        <v>44621</v>
      </c>
      <c r="F43" s="44">
        <f t="shared" si="10"/>
        <v>2.5863013698630137</v>
      </c>
      <c r="G43" s="29">
        <v>12</v>
      </c>
      <c r="H43" s="30">
        <v>1</v>
      </c>
      <c r="I43" s="33">
        <f t="shared" si="40"/>
        <v>26953.13</v>
      </c>
      <c r="J43" s="30">
        <v>18.100000000000001</v>
      </c>
      <c r="K43" s="32">
        <v>13.91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26953.13</v>
      </c>
      <c r="AF43" s="31">
        <v>3261.25488580822</v>
      </c>
      <c r="AG43" s="31">
        <f t="shared" si="41"/>
        <v>23691.875114191782</v>
      </c>
      <c r="AH43" s="31">
        <v>0</v>
      </c>
      <c r="AI43" s="31">
        <f t="shared" si="22"/>
        <v>4288.2293956687126</v>
      </c>
      <c r="AJ43" s="43">
        <f t="shared" si="35"/>
        <v>7.9166666666666663E-2</v>
      </c>
      <c r="AK43" s="38">
        <f t="shared" si="36"/>
        <v>53906.26</v>
      </c>
      <c r="AL43" s="39">
        <f t="shared" si="42"/>
        <v>19403.645718523068</v>
      </c>
      <c r="AM43" s="38">
        <f t="shared" si="43"/>
        <v>11037.245198173516</v>
      </c>
      <c r="AN43" s="38">
        <f t="shared" si="38"/>
        <v>42869.014801826488</v>
      </c>
      <c r="AO43" s="38">
        <f t="shared" si="39"/>
        <v>38582.113321643839</v>
      </c>
      <c r="AP43" s="25">
        <f t="shared" si="37"/>
        <v>-19178.467603120771</v>
      </c>
    </row>
    <row r="44" spans="2:42" x14ac:dyDescent="0.25">
      <c r="B44" s="27">
        <v>41</v>
      </c>
      <c r="C44" s="36" t="s">
        <v>77</v>
      </c>
      <c r="D44" s="28">
        <v>43677</v>
      </c>
      <c r="E44" s="28">
        <v>44621</v>
      </c>
      <c r="F44" s="44">
        <f t="shared" si="10"/>
        <v>2.5863013698630137</v>
      </c>
      <c r="G44" s="29">
        <v>12</v>
      </c>
      <c r="H44" s="30">
        <v>1</v>
      </c>
      <c r="I44" s="33">
        <f t="shared" si="40"/>
        <v>1100000</v>
      </c>
      <c r="J44" s="30">
        <v>18.100000000000001</v>
      </c>
      <c r="K44" s="32">
        <v>13.91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1100000</v>
      </c>
      <c r="AF44" s="31">
        <v>133096.98630136988</v>
      </c>
      <c r="AG44" s="31">
        <f t="shared" si="41"/>
        <v>966903.01369863015</v>
      </c>
      <c r="AH44" s="31">
        <v>0</v>
      </c>
      <c r="AI44" s="31">
        <f t="shared" si="22"/>
        <v>175009.44547945209</v>
      </c>
      <c r="AJ44" s="43">
        <f t="shared" si="35"/>
        <v>7.9166666666666663E-2</v>
      </c>
      <c r="AK44" s="38">
        <f t="shared" si="36"/>
        <v>2200000</v>
      </c>
      <c r="AL44" s="39">
        <f t="shared" si="42"/>
        <v>791893.56821917812</v>
      </c>
      <c r="AM44" s="38">
        <f t="shared" si="43"/>
        <v>450447.48858447489</v>
      </c>
      <c r="AN44" s="38">
        <f t="shared" si="38"/>
        <v>1749552.5114155251</v>
      </c>
      <c r="AO44" s="38">
        <f t="shared" si="39"/>
        <v>1574597.2602739725</v>
      </c>
      <c r="AP44" s="25">
        <f t="shared" si="37"/>
        <v>-782703.6920547944</v>
      </c>
    </row>
    <row r="45" spans="2:42" x14ac:dyDescent="0.25">
      <c r="B45" s="27">
        <v>42</v>
      </c>
      <c r="C45" s="36" t="s">
        <v>77</v>
      </c>
      <c r="D45" s="28">
        <v>43707</v>
      </c>
      <c r="E45" s="28">
        <v>44621</v>
      </c>
      <c r="F45" s="44">
        <f t="shared" si="10"/>
        <v>2.504109589041096</v>
      </c>
      <c r="G45" s="29">
        <v>12</v>
      </c>
      <c r="H45" s="30">
        <v>1</v>
      </c>
      <c r="I45" s="33">
        <f t="shared" si="40"/>
        <v>96000</v>
      </c>
      <c r="J45" s="30">
        <v>18.100000000000001</v>
      </c>
      <c r="K45" s="32">
        <v>13.91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96000</v>
      </c>
      <c r="AF45" s="31">
        <v>10187.572602739727</v>
      </c>
      <c r="AG45" s="31">
        <f t="shared" si="41"/>
        <v>85812.427397260268</v>
      </c>
      <c r="AH45" s="31">
        <v>0</v>
      </c>
      <c r="AI45" s="31">
        <f t="shared" si="22"/>
        <v>15532.049358904111</v>
      </c>
      <c r="AJ45" s="43">
        <f t="shared" si="35"/>
        <v>7.9166666666666663E-2</v>
      </c>
      <c r="AK45" s="38">
        <f t="shared" si="36"/>
        <v>192000</v>
      </c>
      <c r="AL45" s="39">
        <f t="shared" si="42"/>
        <v>70280.378038356153</v>
      </c>
      <c r="AM45" s="38">
        <f t="shared" si="43"/>
        <v>38062.465753424658</v>
      </c>
      <c r="AN45" s="38">
        <f t="shared" si="38"/>
        <v>153937.53424657535</v>
      </c>
      <c r="AO45" s="38">
        <f t="shared" si="39"/>
        <v>138543.78082191781</v>
      </c>
      <c r="AP45" s="25">
        <f t="shared" si="37"/>
        <v>-68263.402783561658</v>
      </c>
    </row>
    <row r="46" spans="2:42" x14ac:dyDescent="0.25">
      <c r="B46" s="27">
        <v>43</v>
      </c>
      <c r="C46" s="36" t="s">
        <v>77</v>
      </c>
      <c r="D46" s="28">
        <v>43738</v>
      </c>
      <c r="E46" s="28">
        <v>44621</v>
      </c>
      <c r="F46" s="44">
        <f t="shared" si="10"/>
        <v>2.419178082191781</v>
      </c>
      <c r="G46" s="29">
        <v>12</v>
      </c>
      <c r="H46" s="30">
        <v>1</v>
      </c>
      <c r="I46" s="33">
        <f t="shared" si="40"/>
        <v>50971.22</v>
      </c>
      <c r="J46" s="30">
        <v>18.100000000000001</v>
      </c>
      <c r="K46" s="32">
        <v>13.91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50971.22</v>
      </c>
      <c r="AF46" s="31">
        <v>4625.5334796164389</v>
      </c>
      <c r="AG46" s="31">
        <f t="shared" si="41"/>
        <v>46345.686520383562</v>
      </c>
      <c r="AH46" s="31">
        <v>0</v>
      </c>
      <c r="AI46" s="31">
        <f t="shared" si="22"/>
        <v>8388.5692601894243</v>
      </c>
      <c r="AJ46" s="43">
        <f t="shared" si="35"/>
        <v>7.9166666666666663E-2</v>
      </c>
      <c r="AK46" s="38">
        <f t="shared" si="36"/>
        <v>101942.44</v>
      </c>
      <c r="AL46" s="39">
        <f t="shared" si="42"/>
        <v>37957.117260194136</v>
      </c>
      <c r="AM46" s="38">
        <f t="shared" si="43"/>
        <v>19523.83922237443</v>
      </c>
      <c r="AN46" s="38">
        <f t="shared" si="38"/>
        <v>82418.600777625572</v>
      </c>
      <c r="AO46" s="38">
        <f t="shared" si="39"/>
        <v>74176.740699863018</v>
      </c>
      <c r="AP46" s="25">
        <f t="shared" si="37"/>
        <v>-36219.623439668881</v>
      </c>
    </row>
    <row r="47" spans="2:42" x14ac:dyDescent="0.25">
      <c r="B47" s="27">
        <v>44</v>
      </c>
      <c r="C47" s="36" t="s">
        <v>77</v>
      </c>
      <c r="D47" s="28">
        <v>43769</v>
      </c>
      <c r="E47" s="28">
        <v>44621</v>
      </c>
      <c r="F47" s="44">
        <f t="shared" si="10"/>
        <v>2.3342465753424659</v>
      </c>
      <c r="G47" s="29">
        <v>12</v>
      </c>
      <c r="H47" s="30">
        <v>1</v>
      </c>
      <c r="I47" s="33">
        <f t="shared" si="40"/>
        <v>88160</v>
      </c>
      <c r="J47" s="30">
        <v>18.100000000000001</v>
      </c>
      <c r="K47" s="32">
        <v>13.91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88160</v>
      </c>
      <c r="AF47" s="31">
        <v>6645.0901917808224</v>
      </c>
      <c r="AG47" s="31">
        <f t="shared" si="41"/>
        <v>81514.909808219178</v>
      </c>
      <c r="AH47" s="31">
        <v>0</v>
      </c>
      <c r="AI47" s="31">
        <f t="shared" si="22"/>
        <v>14754.198675287673</v>
      </c>
      <c r="AJ47" s="43">
        <f t="shared" si="35"/>
        <v>7.9166666666666663E-2</v>
      </c>
      <c r="AK47" s="38">
        <f t="shared" si="36"/>
        <v>176320</v>
      </c>
      <c r="AL47" s="39">
        <f t="shared" si="42"/>
        <v>66760.711132931508</v>
      </c>
      <c r="AM47" s="38">
        <f t="shared" si="43"/>
        <v>32582.969863013699</v>
      </c>
      <c r="AN47" s="38">
        <f t="shared" si="38"/>
        <v>143737.03013698629</v>
      </c>
      <c r="AO47" s="38">
        <f t="shared" si="39"/>
        <v>129363.32712328766</v>
      </c>
      <c r="AP47" s="25">
        <f t="shared" si="37"/>
        <v>-62602.615990356149</v>
      </c>
    </row>
    <row r="48" spans="2:42" x14ac:dyDescent="0.25">
      <c r="B48" s="27">
        <v>45</v>
      </c>
      <c r="C48" s="36" t="s">
        <v>77</v>
      </c>
      <c r="D48" s="28">
        <v>43769</v>
      </c>
      <c r="E48" s="28">
        <v>44621</v>
      </c>
      <c r="F48" s="44">
        <f t="shared" si="10"/>
        <v>2.3342465753424659</v>
      </c>
      <c r="G48" s="29">
        <v>12</v>
      </c>
      <c r="H48" s="30">
        <v>1</v>
      </c>
      <c r="I48" s="33">
        <f t="shared" si="40"/>
        <v>230000</v>
      </c>
      <c r="J48" s="30">
        <v>18.100000000000001</v>
      </c>
      <c r="K48" s="32">
        <v>13.91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230000</v>
      </c>
      <c r="AF48" s="31">
        <v>17336.32876712329</v>
      </c>
      <c r="AG48" s="31">
        <f t="shared" si="41"/>
        <v>212663.67123287672</v>
      </c>
      <c r="AH48" s="31">
        <v>0</v>
      </c>
      <c r="AI48" s="31">
        <f t="shared" si="22"/>
        <v>38492.124493150688</v>
      </c>
      <c r="AJ48" s="43">
        <f t="shared" si="35"/>
        <v>7.9166666666666663E-2</v>
      </c>
      <c r="AK48" s="38">
        <f t="shared" si="36"/>
        <v>460000</v>
      </c>
      <c r="AL48" s="39">
        <f t="shared" si="42"/>
        <v>174171.54673972604</v>
      </c>
      <c r="AM48" s="38">
        <f t="shared" si="43"/>
        <v>85005.479452054802</v>
      </c>
      <c r="AN48" s="38">
        <f t="shared" si="38"/>
        <v>374994.52054794517</v>
      </c>
      <c r="AO48" s="38">
        <f t="shared" si="39"/>
        <v>337495.06849315064</v>
      </c>
      <c r="AP48" s="25">
        <f t="shared" si="37"/>
        <v>-163323.5217534246</v>
      </c>
    </row>
    <row r="49" spans="2:42" x14ac:dyDescent="0.25">
      <c r="B49" s="27">
        <v>46</v>
      </c>
      <c r="C49" s="36" t="s">
        <v>77</v>
      </c>
      <c r="D49" s="28">
        <v>43190</v>
      </c>
      <c r="E49" s="28">
        <v>44621</v>
      </c>
      <c r="F49" s="44">
        <f t="shared" si="10"/>
        <v>3.9205479452054797</v>
      </c>
      <c r="G49" s="29">
        <v>12</v>
      </c>
      <c r="H49" s="30">
        <v>1</v>
      </c>
      <c r="I49" s="31">
        <v>5376062</v>
      </c>
      <c r="J49" s="30">
        <v>18.100000000000001</v>
      </c>
      <c r="K49" s="32">
        <v>13.91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5376062</v>
      </c>
      <c r="AC49" s="31">
        <f>AB49*J49/100</f>
        <v>973067.22200000007</v>
      </c>
      <c r="AD49" s="31">
        <f t="shared" ref="AD49:AD55" si="44">AB49-AC49</f>
        <v>4402994.7779999999</v>
      </c>
      <c r="AE49" s="31">
        <v>0</v>
      </c>
      <c r="AF49" s="31">
        <f>AD49*J49/100</f>
        <v>796942.05481800006</v>
      </c>
      <c r="AG49" s="31">
        <f>AD49-AF49</f>
        <v>3606052.7231819998</v>
      </c>
      <c r="AH49" s="31">
        <v>0</v>
      </c>
      <c r="AI49" s="31">
        <f t="shared" si="22"/>
        <v>652695.542895942</v>
      </c>
      <c r="AJ49" s="43">
        <f t="shared" si="35"/>
        <v>7.9166666666666663E-2</v>
      </c>
      <c r="AK49" s="38">
        <f t="shared" si="36"/>
        <v>5376062</v>
      </c>
      <c r="AL49" s="39">
        <f t="shared" si="42"/>
        <v>2953357.1802860578</v>
      </c>
      <c r="AM49" s="38">
        <f t="shared" si="43"/>
        <v>1668604.4488356165</v>
      </c>
      <c r="AN49" s="38">
        <f t="shared" si="38"/>
        <v>3707457.5511643835</v>
      </c>
      <c r="AO49" s="38">
        <f t="shared" si="39"/>
        <v>3336711.796047945</v>
      </c>
      <c r="AP49" s="25">
        <f t="shared" si="37"/>
        <v>-383354.61576188728</v>
      </c>
    </row>
    <row r="50" spans="2:42" x14ac:dyDescent="0.25">
      <c r="B50" s="27">
        <v>47</v>
      </c>
      <c r="C50" s="36" t="s">
        <v>78</v>
      </c>
      <c r="D50" s="28">
        <v>39173</v>
      </c>
      <c r="E50" s="28">
        <v>44621</v>
      </c>
      <c r="F50" s="44">
        <f t="shared" si="10"/>
        <v>14.926027397260274</v>
      </c>
      <c r="G50" s="29">
        <v>3</v>
      </c>
      <c r="H50" s="30">
        <v>1</v>
      </c>
      <c r="I50" s="34">
        <v>7390</v>
      </c>
      <c r="J50" s="30">
        <v>45.07</v>
      </c>
      <c r="K50" s="30">
        <v>13.91</v>
      </c>
      <c r="L50" s="31">
        <v>3749.3270000000002</v>
      </c>
      <c r="M50" s="31">
        <v>2059.5053211000004</v>
      </c>
      <c r="N50" s="31">
        <v>1131.2862728802302</v>
      </c>
      <c r="O50" s="31">
        <v>621.41554969311051</v>
      </c>
      <c r="P50" s="31">
        <v>341.34356144642561</v>
      </c>
      <c r="Q50" s="31">
        <v>187.5000183025216</v>
      </c>
      <c r="R50" s="31">
        <v>102.99376005357512</v>
      </c>
      <c r="S50" s="31">
        <v>56.574472397428814</v>
      </c>
      <c r="T50" s="31">
        <v>31.076357687907649</v>
      </c>
      <c r="U50" s="31">
        <v>0</v>
      </c>
      <c r="V50" s="31">
        <f t="shared" ref="V50:V55" si="45">+T50+U50-Z50</f>
        <v>17.07024327796767</v>
      </c>
      <c r="W50" s="31">
        <v>7287.006239946425</v>
      </c>
      <c r="X50" s="31">
        <v>46.419287656146302</v>
      </c>
      <c r="Y50" s="31">
        <f t="shared" ref="Y50:Y55" si="46">+S50*J50%</f>
        <v>25.498114709521165</v>
      </c>
      <c r="Z50" s="31">
        <f t="shared" ref="Z50:Z55" si="47">+T50*J50%</f>
        <v>14.006114409939977</v>
      </c>
      <c r="AA50" s="31">
        <f t="shared" ref="AA50:AA55" si="48">+V50*J50/100</f>
        <v>7.693558645380028</v>
      </c>
      <c r="AB50" s="31">
        <f t="shared" ref="AB50:AB55" si="49">+V50-AA50</f>
        <v>9.3766846325876418</v>
      </c>
      <c r="AC50" s="31">
        <f t="shared" ref="AC50:AC55" si="50">AB50*J50/100*0</f>
        <v>0</v>
      </c>
      <c r="AD50" s="31">
        <f t="shared" si="44"/>
        <v>9.3766846325876418</v>
      </c>
      <c r="AE50" s="31">
        <v>0</v>
      </c>
      <c r="AF50" s="31">
        <v>0</v>
      </c>
      <c r="AG50" s="31">
        <f>(AD50-AF50)</f>
        <v>9.3766846325876418</v>
      </c>
      <c r="AH50" s="31">
        <v>0</v>
      </c>
      <c r="AI50" s="31">
        <f t="shared" si="22"/>
        <v>4.2260717639072505</v>
      </c>
      <c r="AJ50" s="43">
        <f t="shared" si="35"/>
        <v>0.31666666666666665</v>
      </c>
      <c r="AK50" s="38">
        <f t="shared" si="36"/>
        <v>7390</v>
      </c>
      <c r="AL50" s="39">
        <f t="shared" si="42"/>
        <v>5.1506128686803914</v>
      </c>
      <c r="AM50" s="38">
        <f t="shared" si="43"/>
        <v>34929.391780821912</v>
      </c>
      <c r="AN50" s="38">
        <f t="shared" si="38"/>
        <v>0</v>
      </c>
      <c r="AO50" s="38">
        <f t="shared" si="39"/>
        <v>369.5</v>
      </c>
      <c r="AP50" s="25">
        <f t="shared" si="37"/>
        <v>-364.34938713131959</v>
      </c>
    </row>
    <row r="51" spans="2:42" x14ac:dyDescent="0.25">
      <c r="B51" s="27">
        <v>48</v>
      </c>
      <c r="C51" s="36" t="s">
        <v>78</v>
      </c>
      <c r="D51" s="28">
        <v>39539</v>
      </c>
      <c r="E51" s="28">
        <v>44621</v>
      </c>
      <c r="F51" s="44">
        <f t="shared" si="10"/>
        <v>13.923287671232877</v>
      </c>
      <c r="G51" s="29">
        <v>3</v>
      </c>
      <c r="H51" s="30">
        <v>1</v>
      </c>
      <c r="I51" s="34">
        <v>29458</v>
      </c>
      <c r="J51" s="30">
        <v>45.07</v>
      </c>
      <c r="K51" s="30">
        <v>13.91</v>
      </c>
      <c r="L51" s="31">
        <v>0</v>
      </c>
      <c r="M51" s="31">
        <v>14693.279399999999</v>
      </c>
      <c r="N51" s="31">
        <v>8071.0183744199994</v>
      </c>
      <c r="O51" s="31">
        <v>4433.4103930689053</v>
      </c>
      <c r="P51" s="31">
        <v>2435.2723289127498</v>
      </c>
      <c r="Q51" s="31">
        <v>1337.6950902717736</v>
      </c>
      <c r="R51" s="31">
        <v>734.79591308628528</v>
      </c>
      <c r="S51" s="31">
        <v>403.62339505829652</v>
      </c>
      <c r="T51" s="31">
        <v>221.71033090552228</v>
      </c>
      <c r="U51" s="31">
        <v>0</v>
      </c>
      <c r="V51" s="31">
        <f t="shared" si="45"/>
        <v>121.7854847664034</v>
      </c>
      <c r="W51" s="31">
        <v>28723.204086913716</v>
      </c>
      <c r="X51" s="31">
        <v>331.17251802798876</v>
      </c>
      <c r="Y51" s="31">
        <f t="shared" si="46"/>
        <v>181.91306415277424</v>
      </c>
      <c r="Z51" s="31">
        <f t="shared" si="47"/>
        <v>99.924846139118884</v>
      </c>
      <c r="AA51" s="31">
        <f t="shared" si="48"/>
        <v>54.888717984218012</v>
      </c>
      <c r="AB51" s="31">
        <f t="shared" si="49"/>
        <v>66.896766782185381</v>
      </c>
      <c r="AC51" s="31">
        <f t="shared" si="50"/>
        <v>0</v>
      </c>
      <c r="AD51" s="31">
        <f t="shared" si="44"/>
        <v>66.896766782185381</v>
      </c>
      <c r="AE51" s="31">
        <v>0</v>
      </c>
      <c r="AF51" s="31">
        <v>0</v>
      </c>
      <c r="AG51" s="31">
        <f>(AD51-AF51)</f>
        <v>66.896766782185381</v>
      </c>
      <c r="AH51" s="31">
        <v>0</v>
      </c>
      <c r="AI51" s="31">
        <f t="shared" si="22"/>
        <v>30.150372788730952</v>
      </c>
      <c r="AJ51" s="43">
        <f t="shared" si="35"/>
        <v>0.31666666666666665</v>
      </c>
      <c r="AK51" s="38">
        <f t="shared" si="36"/>
        <v>29458</v>
      </c>
      <c r="AL51" s="39">
        <f t="shared" si="42"/>
        <v>36.746393993454433</v>
      </c>
      <c r="AM51" s="38">
        <f t="shared" si="43"/>
        <v>129881.53260273974</v>
      </c>
      <c r="AN51" s="38">
        <f t="shared" si="38"/>
        <v>0</v>
      </c>
      <c r="AO51" s="38">
        <f t="shared" si="39"/>
        <v>1472.9</v>
      </c>
      <c r="AP51" s="25">
        <f t="shared" si="37"/>
        <v>-1436.1536060065457</v>
      </c>
    </row>
    <row r="52" spans="2:42" x14ac:dyDescent="0.25">
      <c r="B52" s="27">
        <v>49</v>
      </c>
      <c r="C52" s="36" t="s">
        <v>78</v>
      </c>
      <c r="D52" s="28">
        <v>39904</v>
      </c>
      <c r="E52" s="28">
        <v>44621</v>
      </c>
      <c r="F52" s="44">
        <f t="shared" si="10"/>
        <v>12.923287671232877</v>
      </c>
      <c r="G52" s="29">
        <v>3</v>
      </c>
      <c r="H52" s="30">
        <v>1</v>
      </c>
      <c r="I52" s="34">
        <v>87610</v>
      </c>
      <c r="J52" s="30">
        <v>45.07</v>
      </c>
      <c r="K52" s="30">
        <v>13.91</v>
      </c>
      <c r="L52" s="31">
        <v>0</v>
      </c>
      <c r="M52" s="31">
        <v>0</v>
      </c>
      <c r="N52" s="31">
        <v>47753.173000000003</v>
      </c>
      <c r="O52" s="31">
        <v>26230.817928900004</v>
      </c>
      <c r="P52" s="31">
        <v>14408.588288344772</v>
      </c>
      <c r="Q52" s="31">
        <v>7914.6375467877833</v>
      </c>
      <c r="R52" s="31">
        <v>4347.5104044505297</v>
      </c>
      <c r="S52" s="31">
        <v>2388.0874651646759</v>
      </c>
      <c r="T52" s="31">
        <v>1311.7764446149565</v>
      </c>
      <c r="U52" s="31">
        <v>0</v>
      </c>
      <c r="V52" s="31">
        <f t="shared" si="45"/>
        <v>720.55880102699564</v>
      </c>
      <c r="W52" s="31">
        <v>83262.489595549472</v>
      </c>
      <c r="X52" s="31">
        <v>1959.4229392858538</v>
      </c>
      <c r="Y52" s="31">
        <f t="shared" si="46"/>
        <v>1076.3110205497194</v>
      </c>
      <c r="Z52" s="31">
        <f t="shared" si="47"/>
        <v>591.21764358796088</v>
      </c>
      <c r="AA52" s="31">
        <f t="shared" si="48"/>
        <v>324.75585162286694</v>
      </c>
      <c r="AB52" s="31">
        <f t="shared" si="49"/>
        <v>395.8029494041287</v>
      </c>
      <c r="AC52" s="31">
        <f t="shared" si="50"/>
        <v>0</v>
      </c>
      <c r="AD52" s="31">
        <f t="shared" si="44"/>
        <v>395.8029494041287</v>
      </c>
      <c r="AE52" s="31">
        <v>0</v>
      </c>
      <c r="AF52" s="31">
        <v>0</v>
      </c>
      <c r="AG52" s="31">
        <f>(AD52-AF52)</f>
        <v>395.8029494041287</v>
      </c>
      <c r="AH52" s="31">
        <v>0</v>
      </c>
      <c r="AI52" s="31">
        <f t="shared" si="22"/>
        <v>178.38838929644081</v>
      </c>
      <c r="AJ52" s="43">
        <f t="shared" si="35"/>
        <v>0.31666666666666665</v>
      </c>
      <c r="AK52" s="38">
        <f t="shared" si="36"/>
        <v>87610</v>
      </c>
      <c r="AL52" s="39">
        <f t="shared" si="42"/>
        <v>217.41456010768789</v>
      </c>
      <c r="AM52" s="38">
        <f t="shared" si="43"/>
        <v>358532.92374429223</v>
      </c>
      <c r="AN52" s="38">
        <f t="shared" si="38"/>
        <v>0</v>
      </c>
      <c r="AO52" s="38">
        <f t="shared" si="39"/>
        <v>4380.5</v>
      </c>
      <c r="AP52" s="25">
        <f t="shared" si="37"/>
        <v>-4163.085439892312</v>
      </c>
    </row>
    <row r="53" spans="2:42" x14ac:dyDescent="0.25">
      <c r="B53" s="27">
        <v>50</v>
      </c>
      <c r="C53" s="36" t="s">
        <v>78</v>
      </c>
      <c r="D53" s="28">
        <v>40594</v>
      </c>
      <c r="E53" s="28">
        <v>44621</v>
      </c>
      <c r="F53" s="44">
        <f t="shared" si="10"/>
        <v>11.032876712328767</v>
      </c>
      <c r="G53" s="29">
        <v>3</v>
      </c>
      <c r="H53" s="30">
        <v>1</v>
      </c>
      <c r="I53" s="34">
        <v>48882819</v>
      </c>
      <c r="J53" s="30">
        <v>45.07</v>
      </c>
      <c r="K53" s="30">
        <v>13.91</v>
      </c>
      <c r="L53" s="31">
        <v>0</v>
      </c>
      <c r="M53" s="31">
        <v>0</v>
      </c>
      <c r="N53" s="31">
        <v>0</v>
      </c>
      <c r="O53" s="31">
        <v>46472062.517994523</v>
      </c>
      <c r="P53" s="31">
        <v>25527103.941134393</v>
      </c>
      <c r="Q53" s="31">
        <v>14022038.194865122</v>
      </c>
      <c r="R53" s="31">
        <v>7702305.580439412</v>
      </c>
      <c r="S53" s="31">
        <v>4230876.4553353693</v>
      </c>
      <c r="T53" s="31">
        <v>2324020.4369157185</v>
      </c>
      <c r="U53" s="31">
        <v>0</v>
      </c>
      <c r="V53" s="31">
        <f t="shared" si="45"/>
        <v>1276584.4259978042</v>
      </c>
      <c r="W53" s="31">
        <v>41180513.419560589</v>
      </c>
      <c r="X53" s="31">
        <v>3471429.1251040427</v>
      </c>
      <c r="Y53" s="31">
        <f t="shared" si="46"/>
        <v>1906856.0184196508</v>
      </c>
      <c r="Z53" s="31">
        <f t="shared" si="47"/>
        <v>1047436.0109179143</v>
      </c>
      <c r="AA53" s="31">
        <f t="shared" si="48"/>
        <v>575356.60079721035</v>
      </c>
      <c r="AB53" s="31">
        <f t="shared" si="49"/>
        <v>701227.8252005938</v>
      </c>
      <c r="AC53" s="31">
        <f t="shared" si="50"/>
        <v>0</v>
      </c>
      <c r="AD53" s="31">
        <f t="shared" si="44"/>
        <v>701227.8252005938</v>
      </c>
      <c r="AE53" s="31">
        <v>0</v>
      </c>
      <c r="AF53" s="31">
        <v>0</v>
      </c>
      <c r="AG53" s="31">
        <f>AD53-AF53</f>
        <v>701227.8252005938</v>
      </c>
      <c r="AH53" s="31">
        <v>0</v>
      </c>
      <c r="AI53" s="31">
        <f t="shared" si="22"/>
        <v>316043.38081790763</v>
      </c>
      <c r="AJ53" s="43">
        <f t="shared" si="35"/>
        <v>0.31666666666666665</v>
      </c>
      <c r="AK53" s="38">
        <f t="shared" si="36"/>
        <v>48882819</v>
      </c>
      <c r="AL53" s="39">
        <f t="shared" si="42"/>
        <v>385184.44438268617</v>
      </c>
      <c r="AM53" s="38">
        <f t="shared" si="43"/>
        <v>170784069.869726</v>
      </c>
      <c r="AN53" s="38">
        <f t="shared" si="38"/>
        <v>0</v>
      </c>
      <c r="AO53" s="38">
        <f t="shared" si="39"/>
        <v>2444140.9500000002</v>
      </c>
      <c r="AP53" s="25">
        <f t="shared" si="37"/>
        <v>-2058956.505617314</v>
      </c>
    </row>
    <row r="54" spans="2:42" x14ac:dyDescent="0.25">
      <c r="B54" s="27">
        <v>51</v>
      </c>
      <c r="C54" s="36" t="s">
        <v>78</v>
      </c>
      <c r="D54" s="28">
        <v>40789</v>
      </c>
      <c r="E54" s="28">
        <v>44621</v>
      </c>
      <c r="F54" s="44">
        <f t="shared" si="10"/>
        <v>10.498630136986302</v>
      </c>
      <c r="G54" s="29">
        <v>3</v>
      </c>
      <c r="H54" s="30">
        <v>1</v>
      </c>
      <c r="I54" s="34">
        <v>900108</v>
      </c>
      <c r="J54" s="30">
        <v>45.07</v>
      </c>
      <c r="K54" s="30">
        <v>13.91</v>
      </c>
      <c r="L54" s="31">
        <v>0</v>
      </c>
      <c r="M54" s="31">
        <v>0</v>
      </c>
      <c r="N54" s="31">
        <v>0</v>
      </c>
      <c r="O54" s="31">
        <v>0</v>
      </c>
      <c r="P54" s="31">
        <v>669943.17575561639</v>
      </c>
      <c r="Q54" s="31">
        <v>367999.78644256009</v>
      </c>
      <c r="R54" s="31">
        <v>202142.28269289827</v>
      </c>
      <c r="S54" s="31">
        <v>111036.75588320901</v>
      </c>
      <c r="T54" s="31">
        <v>60992.490006646716</v>
      </c>
      <c r="U54" s="31">
        <v>0</v>
      </c>
      <c r="V54" s="31">
        <f t="shared" si="45"/>
        <v>33503.174760651047</v>
      </c>
      <c r="W54" s="31">
        <v>697965.7173071017</v>
      </c>
      <c r="X54" s="31">
        <v>91105.526809689254</v>
      </c>
      <c r="Y54" s="31">
        <f t="shared" si="46"/>
        <v>50044.265876562298</v>
      </c>
      <c r="Z54" s="31">
        <f t="shared" si="47"/>
        <v>27489.315245995673</v>
      </c>
      <c r="AA54" s="31">
        <f t="shared" si="48"/>
        <v>15099.880864625426</v>
      </c>
      <c r="AB54" s="31">
        <f t="shared" si="49"/>
        <v>18403.293896025622</v>
      </c>
      <c r="AC54" s="31">
        <f t="shared" si="50"/>
        <v>0</v>
      </c>
      <c r="AD54" s="31">
        <f t="shared" si="44"/>
        <v>18403.293896025622</v>
      </c>
      <c r="AE54" s="31">
        <v>0</v>
      </c>
      <c r="AF54" s="31">
        <v>0</v>
      </c>
      <c r="AG54" s="31">
        <f>AD54-AF54</f>
        <v>18403.293896025622</v>
      </c>
      <c r="AH54" s="31">
        <v>0</v>
      </c>
      <c r="AI54" s="31">
        <f t="shared" si="22"/>
        <v>8294.364558938747</v>
      </c>
      <c r="AJ54" s="43">
        <f t="shared" si="35"/>
        <v>0.31666666666666665</v>
      </c>
      <c r="AK54" s="38">
        <f t="shared" si="36"/>
        <v>900108</v>
      </c>
      <c r="AL54" s="39">
        <f t="shared" si="42"/>
        <v>10108.929337086875</v>
      </c>
      <c r="AM54" s="38">
        <f t="shared" si="43"/>
        <v>2992468.6421917812</v>
      </c>
      <c r="AN54" s="38">
        <f t="shared" si="38"/>
        <v>0</v>
      </c>
      <c r="AO54" s="38">
        <f t="shared" si="39"/>
        <v>45005.4</v>
      </c>
      <c r="AP54" s="25">
        <f t="shared" si="37"/>
        <v>-34896.470662913125</v>
      </c>
    </row>
    <row r="55" spans="2:42" x14ac:dyDescent="0.25">
      <c r="B55" s="27">
        <v>52</v>
      </c>
      <c r="C55" s="36" t="s">
        <v>78</v>
      </c>
      <c r="D55" s="28">
        <v>41082</v>
      </c>
      <c r="E55" s="28">
        <v>44621</v>
      </c>
      <c r="F55" s="44">
        <f t="shared" si="10"/>
        <v>9.6958904109589046</v>
      </c>
      <c r="G55" s="29">
        <v>3</v>
      </c>
      <c r="H55" s="30">
        <v>1</v>
      </c>
      <c r="I55" s="34">
        <v>420860</v>
      </c>
      <c r="J55" s="30">
        <v>45.07</v>
      </c>
      <c r="K55" s="30">
        <v>13.91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274295.4746191781</v>
      </c>
      <c r="R55" s="31">
        <v>150670.50420831452</v>
      </c>
      <c r="S55" s="31">
        <v>82763.307961627172</v>
      </c>
      <c r="T55" s="31">
        <v>45461.88506332181</v>
      </c>
      <c r="U55" s="31">
        <v>0</v>
      </c>
      <c r="V55" s="31">
        <f t="shared" si="45"/>
        <v>24972.213465282672</v>
      </c>
      <c r="W55" s="31">
        <v>270189.49579168548</v>
      </c>
      <c r="X55" s="31">
        <v>67907.196246687352</v>
      </c>
      <c r="Y55" s="31">
        <f t="shared" si="46"/>
        <v>37301.422898305362</v>
      </c>
      <c r="Z55" s="31">
        <f t="shared" si="47"/>
        <v>20489.671598039138</v>
      </c>
      <c r="AA55" s="31">
        <f t="shared" si="48"/>
        <v>11254.976608802899</v>
      </c>
      <c r="AB55" s="31">
        <f t="shared" si="49"/>
        <v>13717.236856479773</v>
      </c>
      <c r="AC55" s="31">
        <f t="shared" si="50"/>
        <v>0</v>
      </c>
      <c r="AD55" s="31">
        <f t="shared" si="44"/>
        <v>13717.236856479773</v>
      </c>
      <c r="AE55" s="31">
        <v>0</v>
      </c>
      <c r="AF55" s="31">
        <v>0</v>
      </c>
      <c r="AG55" s="31">
        <f>AD55-AF55</f>
        <v>13717.236856479773</v>
      </c>
      <c r="AH55" s="31">
        <v>0</v>
      </c>
      <c r="AI55" s="31">
        <f t="shared" si="22"/>
        <v>6182.3586512154343</v>
      </c>
      <c r="AJ55" s="43">
        <f t="shared" si="35"/>
        <v>0.31666666666666665</v>
      </c>
      <c r="AK55" s="38">
        <f t="shared" si="36"/>
        <v>420860</v>
      </c>
      <c r="AL55" s="39">
        <f t="shared" si="42"/>
        <v>7534.8782052643382</v>
      </c>
      <c r="AM55" s="38">
        <f t="shared" si="43"/>
        <v>1292193.9388127853</v>
      </c>
      <c r="AN55" s="38">
        <f t="shared" si="38"/>
        <v>0</v>
      </c>
      <c r="AO55" s="38">
        <f t="shared" si="39"/>
        <v>21043</v>
      </c>
      <c r="AP55" s="25">
        <f t="shared" si="37"/>
        <v>-13508.121794735662</v>
      </c>
    </row>
    <row r="56" spans="2:42" x14ac:dyDescent="0.25">
      <c r="B56" s="27">
        <v>53</v>
      </c>
      <c r="C56" s="36" t="s">
        <v>78</v>
      </c>
      <c r="D56" s="28">
        <v>43699</v>
      </c>
      <c r="E56" s="28">
        <v>44621</v>
      </c>
      <c r="F56" s="44">
        <f t="shared" si="10"/>
        <v>2.526027397260274</v>
      </c>
      <c r="G56" s="29">
        <v>3</v>
      </c>
      <c r="H56" s="30">
        <v>1</v>
      </c>
      <c r="I56" s="33">
        <f>AE56</f>
        <v>66500</v>
      </c>
      <c r="J56" s="30">
        <v>45.07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66500</v>
      </c>
      <c r="AF56" s="31">
        <v>18229.271506849313</v>
      </c>
      <c r="AG56" s="31">
        <f>AE56-AF56</f>
        <v>48270.728493150687</v>
      </c>
      <c r="AH56" s="31">
        <v>0</v>
      </c>
      <c r="AI56" s="31">
        <f t="shared" si="22"/>
        <v>21755.617331863014</v>
      </c>
      <c r="AJ56" s="43">
        <f t="shared" si="35"/>
        <v>0.31666666666666665</v>
      </c>
      <c r="AK56" s="38">
        <f t="shared" si="36"/>
        <v>133000</v>
      </c>
      <c r="AL56" s="39">
        <f t="shared" si="42"/>
        <v>26515.111161287674</v>
      </c>
      <c r="AM56" s="38">
        <f t="shared" si="43"/>
        <v>106387.85388127854</v>
      </c>
      <c r="AN56" s="38">
        <f t="shared" si="38"/>
        <v>26612.146118721459</v>
      </c>
      <c r="AO56" s="38">
        <f t="shared" si="39"/>
        <v>23950.931506849312</v>
      </c>
      <c r="AP56" s="25">
        <f t="shared" si="37"/>
        <v>2564.1796544383615</v>
      </c>
    </row>
    <row r="57" spans="2:42" x14ac:dyDescent="0.25">
      <c r="B57" s="27">
        <v>54</v>
      </c>
      <c r="C57" s="36" t="s">
        <v>78</v>
      </c>
      <c r="D57" s="28">
        <v>43719</v>
      </c>
      <c r="E57" s="28">
        <v>44621</v>
      </c>
      <c r="F57" s="44">
        <f t="shared" si="10"/>
        <v>2.4712328767123286</v>
      </c>
      <c r="G57" s="29">
        <v>3</v>
      </c>
      <c r="H57" s="30">
        <v>1</v>
      </c>
      <c r="I57" s="33">
        <f>AE57</f>
        <v>139175</v>
      </c>
      <c r="J57" s="30">
        <v>45.07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139175</v>
      </c>
      <c r="AF57" s="31">
        <v>34714.210534246573</v>
      </c>
      <c r="AG57" s="31">
        <f>AE57-AF57</f>
        <v>104460.78946575342</v>
      </c>
      <c r="AH57" s="31">
        <v>0</v>
      </c>
      <c r="AI57" s="31">
        <f t="shared" si="22"/>
        <v>47080.477812215075</v>
      </c>
      <c r="AJ57" s="43">
        <f t="shared" si="35"/>
        <v>0.31666666666666665</v>
      </c>
      <c r="AK57" s="38">
        <f t="shared" si="36"/>
        <v>278350</v>
      </c>
      <c r="AL57" s="39">
        <f t="shared" si="42"/>
        <v>57380.311653538345</v>
      </c>
      <c r="AM57" s="38">
        <f t="shared" si="43"/>
        <v>217824.7625570776</v>
      </c>
      <c r="AN57" s="38">
        <f t="shared" si="38"/>
        <v>60525.2374429224</v>
      </c>
      <c r="AO57" s="38">
        <f t="shared" si="39"/>
        <v>54472.713698630163</v>
      </c>
      <c r="AP57" s="25">
        <f t="shared" si="37"/>
        <v>2907.5979549081821</v>
      </c>
    </row>
    <row r="58" spans="2:42" x14ac:dyDescent="0.25">
      <c r="B58" s="27">
        <v>55</v>
      </c>
      <c r="C58" s="36" t="s">
        <v>78</v>
      </c>
      <c r="D58" s="28">
        <v>43769</v>
      </c>
      <c r="E58" s="28">
        <v>44621</v>
      </c>
      <c r="F58" s="44">
        <f t="shared" si="10"/>
        <v>2.3342465753424659</v>
      </c>
      <c r="G58" s="29">
        <v>3</v>
      </c>
      <c r="H58" s="30">
        <v>1</v>
      </c>
      <c r="I58" s="33">
        <f>AE58</f>
        <v>85050</v>
      </c>
      <c r="J58" s="30">
        <v>45.07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85050</v>
      </c>
      <c r="AF58" s="31">
        <v>15962.929643835616</v>
      </c>
      <c r="AG58" s="31">
        <f>AE58-AF58</f>
        <v>69087.07035616439</v>
      </c>
      <c r="AH58" s="31">
        <v>0</v>
      </c>
      <c r="AI58" s="31">
        <f t="shared" si="22"/>
        <v>31137.542609523294</v>
      </c>
      <c r="AJ58" s="43">
        <f t="shared" si="35"/>
        <v>0.31666666666666665</v>
      </c>
      <c r="AK58" s="38">
        <f t="shared" si="36"/>
        <v>170100</v>
      </c>
      <c r="AL58" s="39">
        <f t="shared" si="42"/>
        <v>37949.527746641092</v>
      </c>
      <c r="AM58" s="38">
        <f t="shared" si="43"/>
        <v>125734.19178082193</v>
      </c>
      <c r="AN58" s="38">
        <f t="shared" si="38"/>
        <v>44365.80821917807</v>
      </c>
      <c r="AO58" s="38">
        <f t="shared" si="39"/>
        <v>39929.227397260263</v>
      </c>
      <c r="AP58" s="25">
        <f t="shared" si="37"/>
        <v>-1979.6996506191717</v>
      </c>
    </row>
    <row r="59" spans="2:42" x14ac:dyDescent="0.25">
      <c r="B59" s="27">
        <v>56</v>
      </c>
      <c r="C59" s="36" t="s">
        <v>78</v>
      </c>
      <c r="D59" s="28">
        <v>43555</v>
      </c>
      <c r="E59" s="28">
        <v>44621</v>
      </c>
      <c r="F59" s="44">
        <f t="shared" si="10"/>
        <v>2.9205479452054797</v>
      </c>
      <c r="G59" s="29">
        <v>3</v>
      </c>
      <c r="H59" s="30">
        <v>1</v>
      </c>
      <c r="I59" s="31">
        <v>95098</v>
      </c>
      <c r="J59" s="30">
        <v>45.07</v>
      </c>
      <c r="K59" s="30">
        <v>13.91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95098</v>
      </c>
      <c r="AE59" s="31">
        <v>0</v>
      </c>
      <c r="AF59" s="31">
        <v>0</v>
      </c>
      <c r="AG59" s="31">
        <f>AD59-AF59</f>
        <v>95098</v>
      </c>
      <c r="AH59" s="31">
        <v>0</v>
      </c>
      <c r="AI59" s="31">
        <f t="shared" si="22"/>
        <v>42860.668600000005</v>
      </c>
      <c r="AJ59" s="43">
        <f t="shared" si="35"/>
        <v>0.31666666666666665</v>
      </c>
      <c r="AK59" s="38">
        <f t="shared" si="36"/>
        <v>95098</v>
      </c>
      <c r="AL59" s="39">
        <f t="shared" si="42"/>
        <v>52237.331399999995</v>
      </c>
      <c r="AM59" s="38">
        <f t="shared" si="43"/>
        <v>87950.451689497713</v>
      </c>
      <c r="AN59" s="38">
        <f t="shared" si="38"/>
        <v>7147.5483105022868</v>
      </c>
      <c r="AO59" s="38">
        <f t="shared" si="39"/>
        <v>6432.7934794520579</v>
      </c>
      <c r="AP59" s="25">
        <f t="shared" si="37"/>
        <v>45804.53792054794</v>
      </c>
    </row>
    <row r="60" spans="2:42" x14ac:dyDescent="0.25">
      <c r="B60" s="27">
        <v>57</v>
      </c>
      <c r="C60" s="36" t="s">
        <v>78</v>
      </c>
      <c r="D60" s="28">
        <v>44173</v>
      </c>
      <c r="E60" s="28">
        <v>44621</v>
      </c>
      <c r="F60" s="44">
        <f t="shared" si="10"/>
        <v>1.2273972602739727</v>
      </c>
      <c r="G60" s="29">
        <v>3</v>
      </c>
      <c r="H60" s="30">
        <v>1</v>
      </c>
      <c r="I60" s="33">
        <f>AH60</f>
        <v>31070</v>
      </c>
      <c r="J60" s="30">
        <v>45.07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31070</v>
      </c>
      <c r="AI60" s="31">
        <v>4335.2524301369858</v>
      </c>
      <c r="AJ60" s="43">
        <f t="shared" si="35"/>
        <v>0.31666666666666665</v>
      </c>
      <c r="AK60" s="38">
        <f t="shared" si="36"/>
        <v>62140</v>
      </c>
      <c r="AL60" s="39">
        <f>AH60-AI60</f>
        <v>26734.747569863015</v>
      </c>
      <c r="AM60" s="38">
        <f t="shared" si="43"/>
        <v>24152.314155251141</v>
      </c>
      <c r="AN60" s="38">
        <f t="shared" si="38"/>
        <v>37987.685844748863</v>
      </c>
      <c r="AO60" s="38">
        <f t="shared" si="39"/>
        <v>34188.917260273978</v>
      </c>
      <c r="AP60" s="25">
        <f t="shared" si="37"/>
        <v>-7454.1696904109631</v>
      </c>
    </row>
    <row r="61" spans="2:42" x14ac:dyDescent="0.25">
      <c r="B61" s="27">
        <v>58</v>
      </c>
      <c r="C61" s="36" t="s">
        <v>78</v>
      </c>
      <c r="D61" s="28">
        <v>44226</v>
      </c>
      <c r="E61" s="28">
        <v>44621</v>
      </c>
      <c r="F61" s="44">
        <f t="shared" si="10"/>
        <v>1.0821917808219179</v>
      </c>
      <c r="G61" s="29">
        <v>3</v>
      </c>
      <c r="H61" s="30">
        <v>1</v>
      </c>
      <c r="I61" s="33">
        <f>AH61</f>
        <v>124900</v>
      </c>
      <c r="J61" s="30">
        <v>45.07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124900</v>
      </c>
      <c r="AI61" s="31">
        <v>0</v>
      </c>
      <c r="AJ61" s="43">
        <f t="shared" si="35"/>
        <v>0.31666666666666665</v>
      </c>
      <c r="AK61" s="38">
        <f t="shared" si="36"/>
        <v>249800</v>
      </c>
      <c r="AL61" s="39">
        <f>AH61-AI61</f>
        <v>124900</v>
      </c>
      <c r="AM61" s="38">
        <f t="shared" si="43"/>
        <v>85604.977168949772</v>
      </c>
      <c r="AN61" s="38">
        <f t="shared" si="38"/>
        <v>164195.02283105021</v>
      </c>
      <c r="AO61" s="38">
        <f t="shared" si="39"/>
        <v>147775.5205479452</v>
      </c>
      <c r="AP61" s="25">
        <f t="shared" si="37"/>
        <v>-22875.520547945198</v>
      </c>
    </row>
    <row r="62" spans="2:42" x14ac:dyDescent="0.25">
      <c r="B62" s="27">
        <v>59</v>
      </c>
      <c r="C62" s="36" t="s">
        <v>78</v>
      </c>
      <c r="D62" s="28">
        <v>44226</v>
      </c>
      <c r="E62" s="28">
        <v>44621</v>
      </c>
      <c r="F62" s="44">
        <f t="shared" si="10"/>
        <v>1.0821917808219179</v>
      </c>
      <c r="G62" s="29">
        <v>3</v>
      </c>
      <c r="H62" s="30">
        <v>1</v>
      </c>
      <c r="I62" s="33">
        <f>AH62</f>
        <v>266450</v>
      </c>
      <c r="J62" s="30">
        <v>45.07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266450</v>
      </c>
      <c r="AI62" s="31">
        <v>0</v>
      </c>
      <c r="AJ62" s="43">
        <f t="shared" si="35"/>
        <v>0.31666666666666665</v>
      </c>
      <c r="AK62" s="38">
        <f t="shared" si="36"/>
        <v>532900</v>
      </c>
      <c r="AL62" s="39">
        <f>AH62-AI62</f>
        <v>266450</v>
      </c>
      <c r="AM62" s="38">
        <f t="shared" si="43"/>
        <v>182621.66666666669</v>
      </c>
      <c r="AN62" s="38">
        <f t="shared" si="38"/>
        <v>350278.33333333331</v>
      </c>
      <c r="AO62" s="38">
        <f t="shared" si="39"/>
        <v>315250.5</v>
      </c>
      <c r="AP62" s="25">
        <f t="shared" si="37"/>
        <v>-48800.5</v>
      </c>
    </row>
    <row r="63" spans="2:42" x14ac:dyDescent="0.25">
      <c r="B63" s="27">
        <v>60</v>
      </c>
      <c r="C63" s="36" t="s">
        <v>78</v>
      </c>
      <c r="D63" s="28">
        <v>44286</v>
      </c>
      <c r="E63" s="28">
        <v>44621</v>
      </c>
      <c r="F63" s="44">
        <f t="shared" si="10"/>
        <v>0.9178082191780822</v>
      </c>
      <c r="G63" s="29">
        <v>3</v>
      </c>
      <c r="H63" s="30">
        <v>1</v>
      </c>
      <c r="I63" s="33">
        <f>AH63</f>
        <v>233410</v>
      </c>
      <c r="J63" s="30">
        <v>45.07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233410</v>
      </c>
      <c r="AI63" s="31">
        <v>0</v>
      </c>
      <c r="AJ63" s="43">
        <f t="shared" si="35"/>
        <v>0.31666666666666665</v>
      </c>
      <c r="AK63" s="38">
        <f t="shared" si="36"/>
        <v>466820</v>
      </c>
      <c r="AL63" s="39">
        <f>AH63-AI63</f>
        <v>233410</v>
      </c>
      <c r="AM63" s="38">
        <f t="shared" si="43"/>
        <v>135676.22374429222</v>
      </c>
      <c r="AN63" s="38">
        <f t="shared" si="38"/>
        <v>331143.77625570778</v>
      </c>
      <c r="AO63" s="38">
        <f t="shared" si="39"/>
        <v>298029.39863013703</v>
      </c>
      <c r="AP63" s="25">
        <f t="shared" si="37"/>
        <v>-64619.398630137031</v>
      </c>
    </row>
    <row r="64" spans="2:42" x14ac:dyDescent="0.25">
      <c r="B64" s="27">
        <v>61</v>
      </c>
      <c r="C64" s="36" t="s">
        <v>79</v>
      </c>
      <c r="D64" s="28">
        <v>40602</v>
      </c>
      <c r="E64" s="28">
        <v>44621</v>
      </c>
      <c r="F64" s="44">
        <f t="shared" si="10"/>
        <v>11.010958904109589</v>
      </c>
      <c r="G64" s="29">
        <v>8</v>
      </c>
      <c r="H64" s="30">
        <v>1</v>
      </c>
      <c r="I64" s="33">
        <f>7386502-686502</f>
        <v>6700000</v>
      </c>
      <c r="J64" s="30">
        <v>31.23</v>
      </c>
      <c r="K64" s="32">
        <v>25.89</v>
      </c>
      <c r="L64" s="31">
        <v>0</v>
      </c>
      <c r="M64" s="31">
        <v>0</v>
      </c>
      <c r="N64" s="31">
        <v>5130692.5</v>
      </c>
      <c r="O64" s="31">
        <v>3528377.2322499999</v>
      </c>
      <c r="P64" s="31">
        <v>2426465.0226183245</v>
      </c>
      <c r="Q64" s="31">
        <v>1668679.9960546216</v>
      </c>
      <c r="R64" s="31">
        <v>1147551.2332867633</v>
      </c>
      <c r="S64" s="31">
        <v>789170.98313130718</v>
      </c>
      <c r="T64" s="31">
        <v>542712.88509939995</v>
      </c>
      <c r="U64" s="31">
        <v>0</v>
      </c>
      <c r="V64" s="31">
        <f>+T64+U64-Z64</f>
        <v>373223.65108285734</v>
      </c>
      <c r="W64" s="31">
        <v>5552448.7667132365</v>
      </c>
      <c r="X64" s="31">
        <v>358380.25015545613</v>
      </c>
      <c r="Y64" s="31">
        <f>+S64*J64%</f>
        <v>246458.09803190726</v>
      </c>
      <c r="Z64" s="31">
        <f>+T64*J64%</f>
        <v>169489.23401654261</v>
      </c>
      <c r="AA64" s="31">
        <f>+V64*J64/100</f>
        <v>116557.74623317635</v>
      </c>
      <c r="AB64" s="31">
        <f>+V64-AA64</f>
        <v>256665.90484968098</v>
      </c>
      <c r="AC64" s="31">
        <f>AB64*J64/100</f>
        <v>80156.762084555376</v>
      </c>
      <c r="AD64" s="31">
        <f>AB64-AC64</f>
        <v>176509.14276512561</v>
      </c>
      <c r="AE64" s="31">
        <v>0</v>
      </c>
      <c r="AF64" s="31">
        <f>AD64*J64/100</f>
        <v>55123.805285548726</v>
      </c>
      <c r="AG64" s="31">
        <f>AD64-AF64</f>
        <v>121385.33747957688</v>
      </c>
      <c r="AH64" s="31">
        <v>0</v>
      </c>
      <c r="AI64" s="31">
        <f>AG64*J64/100</f>
        <v>37908.64089487186</v>
      </c>
      <c r="AJ64" s="43">
        <f t="shared" si="35"/>
        <v>0.11874999999999999</v>
      </c>
      <c r="AK64" s="38">
        <f t="shared" si="36"/>
        <v>6700000</v>
      </c>
      <c r="AL64" s="39">
        <f>AG64-AI64</f>
        <v>83476.696584705016</v>
      </c>
      <c r="AM64" s="38">
        <f t="shared" si="43"/>
        <v>8760594.1780821923</v>
      </c>
      <c r="AN64" s="38">
        <f t="shared" si="38"/>
        <v>0</v>
      </c>
      <c r="AO64" s="38">
        <f t="shared" si="39"/>
        <v>335000</v>
      </c>
      <c r="AP64" s="25">
        <f t="shared" si="37"/>
        <v>-251523.30341529497</v>
      </c>
    </row>
    <row r="65" spans="2:42" x14ac:dyDescent="0.25">
      <c r="B65" s="27">
        <v>62</v>
      </c>
      <c r="C65" s="36" t="s">
        <v>79</v>
      </c>
      <c r="D65" s="28">
        <v>39173</v>
      </c>
      <c r="E65" s="28">
        <v>44621</v>
      </c>
      <c r="F65" s="44">
        <f t="shared" si="10"/>
        <v>14.926027397260274</v>
      </c>
      <c r="G65" s="29">
        <v>8</v>
      </c>
      <c r="H65" s="30">
        <v>1</v>
      </c>
      <c r="I65" s="33">
        <v>686502</v>
      </c>
      <c r="J65" s="30">
        <v>31.23</v>
      </c>
      <c r="K65" s="32">
        <v>25.89</v>
      </c>
      <c r="L65" s="31">
        <v>472107.42539999995</v>
      </c>
      <c r="M65" s="31">
        <v>324668.27644757996</v>
      </c>
      <c r="N65" s="31">
        <v>223274.37371300074</v>
      </c>
      <c r="O65" s="31">
        <v>153545.78680243061</v>
      </c>
      <c r="P65" s="31">
        <v>105593.43758403152</v>
      </c>
      <c r="Q65" s="31">
        <v>72616.607026538462</v>
      </c>
      <c r="R65" s="31">
        <v>49938.440652150501</v>
      </c>
      <c r="S65" s="31">
        <v>34342.6656364839</v>
      </c>
      <c r="T65" s="31">
        <v>23617.451158209977</v>
      </c>
      <c r="U65" s="31">
        <v>0</v>
      </c>
      <c r="V65" s="31">
        <f>+T65+U65-Z65</f>
        <v>16241.721161501</v>
      </c>
      <c r="W65" s="31">
        <f>636563.559347849</f>
        <v>636563.55934784899</v>
      </c>
      <c r="X65" s="31">
        <v>15595.775015666601</v>
      </c>
      <c r="Y65" s="31">
        <f>+S65*J65%</f>
        <v>10725.214478273923</v>
      </c>
      <c r="Z65" s="31">
        <f>+T65*J65%</f>
        <v>7375.7299967089766</v>
      </c>
      <c r="AA65" s="31">
        <f>+V65*J65/100</f>
        <v>5072.2895187367621</v>
      </c>
      <c r="AB65" s="31">
        <f>+V65-AA65</f>
        <v>11169.431642764237</v>
      </c>
      <c r="AC65" s="31">
        <f>AB65*J65/100</f>
        <v>3488.2135020352712</v>
      </c>
      <c r="AD65" s="31">
        <f>AB65-AC65</f>
        <v>7681.2181407289663</v>
      </c>
      <c r="AE65" s="31">
        <v>0</v>
      </c>
      <c r="AF65" s="31">
        <f>AD65*J65/100</f>
        <v>2398.8444253496559</v>
      </c>
      <c r="AG65" s="31">
        <f>AD65-AF65</f>
        <v>5282.3737153793099</v>
      </c>
      <c r="AH65" s="31">
        <v>0</v>
      </c>
      <c r="AI65" s="31">
        <f>AG65*J65/100</f>
        <v>1649.6853113129587</v>
      </c>
      <c r="AJ65" s="43">
        <f t="shared" si="35"/>
        <v>0.11874999999999999</v>
      </c>
      <c r="AK65" s="38">
        <f t="shared" si="36"/>
        <v>686502</v>
      </c>
      <c r="AL65" s="39">
        <f>AG65-AI65</f>
        <v>3632.6884040663513</v>
      </c>
      <c r="AM65" s="38">
        <f t="shared" si="43"/>
        <v>1216801.2846575342</v>
      </c>
      <c r="AN65" s="38">
        <f t="shared" si="38"/>
        <v>0</v>
      </c>
      <c r="AO65" s="38">
        <f t="shared" si="39"/>
        <v>34325.1</v>
      </c>
      <c r="AP65" s="25">
        <f t="shared" si="37"/>
        <v>-30692.411595933649</v>
      </c>
    </row>
    <row r="66" spans="2:42" x14ac:dyDescent="0.25">
      <c r="B66" s="27">
        <v>63</v>
      </c>
      <c r="C66" s="36" t="s">
        <v>79</v>
      </c>
      <c r="D66" s="28">
        <v>43922</v>
      </c>
      <c r="E66" s="28">
        <v>44621</v>
      </c>
      <c r="F66" s="44">
        <f t="shared" si="10"/>
        <v>1.9150684931506849</v>
      </c>
      <c r="G66" s="29">
        <v>8</v>
      </c>
      <c r="H66" s="30">
        <v>1</v>
      </c>
      <c r="I66" s="33">
        <f>AH66</f>
        <v>20686990</v>
      </c>
      <c r="J66" s="30">
        <v>31.23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20686990</v>
      </c>
      <c r="AI66" s="31">
        <v>3734086.7100273981</v>
      </c>
      <c r="AJ66" s="43">
        <f t="shared" si="35"/>
        <v>0.11874999999999999</v>
      </c>
      <c r="AK66" s="38">
        <f t="shared" si="36"/>
        <v>41373980</v>
      </c>
      <c r="AL66" s="39">
        <f>AH66-AI66+AG66</f>
        <v>16952903.289972603</v>
      </c>
      <c r="AM66" s="38">
        <f t="shared" si="43"/>
        <v>9409038.1571917813</v>
      </c>
      <c r="AN66" s="38">
        <f t="shared" si="38"/>
        <v>31964941.842808217</v>
      </c>
      <c r="AO66" s="40">
        <f t="shared" si="39"/>
        <v>28768447.658527397</v>
      </c>
      <c r="AP66" s="25">
        <f t="shared" si="37"/>
        <v>-11815544.368554793</v>
      </c>
    </row>
    <row r="67" spans="2:42" x14ac:dyDescent="0.25">
      <c r="B67" s="27">
        <v>64</v>
      </c>
      <c r="C67" s="36" t="s">
        <v>79</v>
      </c>
      <c r="D67" s="28">
        <v>42814</v>
      </c>
      <c r="E67" s="28">
        <v>44621</v>
      </c>
      <c r="F67" s="44">
        <f t="shared" si="10"/>
        <v>4.9506849315068493</v>
      </c>
      <c r="G67" s="29">
        <v>8</v>
      </c>
      <c r="H67" s="30">
        <v>1</v>
      </c>
      <c r="I67" s="33">
        <v>40803648</v>
      </c>
      <c r="J67" s="30">
        <v>31.23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4">
        <v>40887572</v>
      </c>
      <c r="V67" s="34">
        <f>+T67+U67-Z67</f>
        <v>40502747.133995615</v>
      </c>
      <c r="W67" s="31">
        <v>0</v>
      </c>
      <c r="X67" s="31">
        <v>0</v>
      </c>
      <c r="Y67" s="31">
        <v>0</v>
      </c>
      <c r="Z67" s="35">
        <f>+U67*J67%*11/365</f>
        <v>384824.86600438354</v>
      </c>
      <c r="AA67" s="31">
        <f>+V67*J67/100</f>
        <v>12649007.92994683</v>
      </c>
      <c r="AB67" s="31">
        <f>+V67-Z67*0-AA67-83924</f>
        <v>27769815.204048783</v>
      </c>
      <c r="AC67" s="31">
        <f>AB67*J67/100</f>
        <v>8672513.2882244345</v>
      </c>
      <c r="AD67" s="31">
        <f>AB67-AC67</f>
        <v>19097301.915824346</v>
      </c>
      <c r="AE67" s="31">
        <v>0</v>
      </c>
      <c r="AF67" s="31">
        <f>AD67*J67/100</f>
        <v>5964087.388311944</v>
      </c>
      <c r="AG67" s="31">
        <f>AD67-AF67</f>
        <v>13133214.527512401</v>
      </c>
      <c r="AH67" s="31">
        <v>0</v>
      </c>
      <c r="AI67" s="31">
        <f>AG67*J67/100</f>
        <v>4101502.8969421233</v>
      </c>
      <c r="AJ67" s="43">
        <f t="shared" si="35"/>
        <v>0.11874999999999999</v>
      </c>
      <c r="AK67" s="38">
        <f t="shared" si="36"/>
        <v>81691220</v>
      </c>
      <c r="AL67" s="39">
        <f>AG67-AI67</f>
        <v>9031711.6305702776</v>
      </c>
      <c r="AM67" s="38">
        <f t="shared" si="43"/>
        <v>48025764.661986299</v>
      </c>
      <c r="AN67" s="38">
        <f t="shared" si="38"/>
        <v>33665455.338013701</v>
      </c>
      <c r="AO67" s="40">
        <f t="shared" si="39"/>
        <v>30298909.804212332</v>
      </c>
      <c r="AP67" s="25">
        <f t="shared" si="37"/>
        <v>-21267198.173642054</v>
      </c>
    </row>
    <row r="68" spans="2:42" s="17" customFormat="1" x14ac:dyDescent="0.25">
      <c r="B68" s="61" t="s">
        <v>23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3"/>
      <c r="AK68" s="41">
        <f>SUM(AK4:AK67)</f>
        <v>1651136369.0600002</v>
      </c>
      <c r="AL68" s="42">
        <f>SUM(AL4:AL67)</f>
        <v>191422367.00752801</v>
      </c>
      <c r="AM68" s="67"/>
      <c r="AN68" s="68"/>
      <c r="AO68" s="42">
        <f>SUM(AO4:AO67)</f>
        <v>225871144.79474008</v>
      </c>
    </row>
    <row r="70" spans="2:42" x14ac:dyDescent="0.25">
      <c r="AK70">
        <v>32915835</v>
      </c>
    </row>
    <row r="71" spans="2:42" x14ac:dyDescent="0.25">
      <c r="AK71" s="48">
        <f>AK68+AK70</f>
        <v>1684052204.0600002</v>
      </c>
    </row>
  </sheetData>
  <autoFilter ref="C3:AP68"/>
  <mergeCells count="3">
    <mergeCell ref="B2:AO2"/>
    <mergeCell ref="B68:AJ68"/>
    <mergeCell ref="AM68:AN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0"/>
  <sheetViews>
    <sheetView workbookViewId="0">
      <selection activeCell="K5" sqref="K5"/>
    </sheetView>
  </sheetViews>
  <sheetFormatPr defaultRowHeight="15" x14ac:dyDescent="0.25"/>
  <cols>
    <col min="5" max="5" width="12.85546875" customWidth="1"/>
    <col min="6" max="6" width="10" bestFit="1" customWidth="1"/>
    <col min="7" max="7" width="9.85546875" bestFit="1" customWidth="1"/>
    <col min="8" max="8" width="12.28515625" customWidth="1"/>
    <col min="9" max="9" width="15.85546875" bestFit="1" customWidth="1"/>
    <col min="10" max="10" width="12.140625" customWidth="1"/>
    <col min="11" max="11" width="16.85546875" bestFit="1" customWidth="1"/>
  </cols>
  <sheetData>
    <row r="3" spans="4:11" ht="15.75" x14ac:dyDescent="0.25">
      <c r="D3" s="64" t="s">
        <v>92</v>
      </c>
      <c r="E3" s="65"/>
      <c r="F3" s="65"/>
      <c r="G3" s="65"/>
      <c r="H3" s="65"/>
      <c r="I3" s="65"/>
      <c r="J3" s="65"/>
      <c r="K3" s="65"/>
    </row>
    <row r="4" spans="4:11" ht="60" x14ac:dyDescent="0.25">
      <c r="D4" s="15" t="s">
        <v>88</v>
      </c>
      <c r="E4" s="15" t="s">
        <v>94</v>
      </c>
      <c r="F4" s="15" t="s">
        <v>95</v>
      </c>
      <c r="G4" s="15" t="s">
        <v>89</v>
      </c>
      <c r="H4" s="15" t="s">
        <v>96</v>
      </c>
      <c r="I4" s="15" t="s">
        <v>90</v>
      </c>
      <c r="J4" s="15" t="s">
        <v>97</v>
      </c>
      <c r="K4" s="15" t="s">
        <v>91</v>
      </c>
    </row>
    <row r="5" spans="4:11" x14ac:dyDescent="0.25">
      <c r="D5" s="7">
        <v>1</v>
      </c>
      <c r="E5" s="26">
        <f>F5/10.764</f>
        <v>6017.04756596061</v>
      </c>
      <c r="F5" s="46">
        <v>64767.5</v>
      </c>
      <c r="G5" s="7" t="s">
        <v>93</v>
      </c>
      <c r="H5" s="45">
        <v>6700</v>
      </c>
      <c r="I5" s="45">
        <f>H5*F5</f>
        <v>433942250</v>
      </c>
      <c r="J5" s="45">
        <v>10500</v>
      </c>
      <c r="K5" s="45">
        <f>J5*F5</f>
        <v>680058750</v>
      </c>
    </row>
    <row r="10" spans="4:11" x14ac:dyDescent="0.25">
      <c r="K10" s="50"/>
    </row>
  </sheetData>
  <mergeCells count="1"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Hotel</vt:lpstr>
      <vt:lpstr>Building</vt:lpstr>
      <vt:lpstr>P&amp;M</vt:lpstr>
      <vt:lpstr>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2022-03-03T05:02:13Z</dcterms:modified>
</cp:coreProperties>
</file>