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ngineer1\Desktop\Minda BOQ\"/>
    </mc:Choice>
  </mc:AlternateContent>
  <bookViews>
    <workbookView xWindow="0" yWindow="0" windowWidth="23040" windowHeight="8325" tabRatio="883" activeTab="2"/>
  </bookViews>
  <sheets>
    <sheet name="Summary of BOQ" sheetId="5" r:id="rId1"/>
    <sheet name="Dismantling Works" sheetId="7" r:id="rId2"/>
    <sheet name="BOQ Female toilet and Store" sheetId="2" r:id="rId3"/>
    <sheet name="BOQ for Male Toilet" sheetId="4" r:id="rId4"/>
    <sheet name="BOQ For Office works" sheetId="3" r:id="rId5"/>
    <sheet name="BOQ For Rigid Pavement" sheetId="6" r:id="rId6"/>
  </sheets>
  <definedNames>
    <definedName name="_xlnm.Print_Area" localSheetId="0">'Summary of BOQ'!$B$2:$D$44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4" l="1"/>
  <c r="J24" i="4" s="1"/>
  <c r="H40" i="2"/>
  <c r="J40" i="2" s="1"/>
  <c r="J61" i="4"/>
  <c r="J58" i="4"/>
  <c r="J59" i="4"/>
  <c r="J60" i="4"/>
  <c r="J62" i="4"/>
  <c r="H13" i="6" l="1"/>
  <c r="J13" i="6" s="1"/>
  <c r="H7" i="3" l="1"/>
  <c r="J81" i="2"/>
  <c r="J80" i="2"/>
  <c r="H11" i="3" l="1"/>
  <c r="J11" i="3" s="1"/>
  <c r="J12" i="3" s="1"/>
  <c r="H15" i="4"/>
  <c r="J15" i="4" s="1"/>
  <c r="E30" i="2"/>
  <c r="H30" i="2" s="1"/>
  <c r="J30" i="2" s="1"/>
  <c r="E29" i="2"/>
  <c r="H29" i="2" s="1"/>
  <c r="J29" i="2" s="1"/>
  <c r="E28" i="2"/>
  <c r="H28" i="2" s="1"/>
  <c r="E27" i="2"/>
  <c r="D31" i="2"/>
  <c r="D26" i="2"/>
  <c r="H26" i="2" s="1"/>
  <c r="J26" i="2" s="1"/>
  <c r="D27" i="2"/>
  <c r="D32" i="5" l="1"/>
  <c r="H27" i="2"/>
  <c r="J27" i="2" s="1"/>
  <c r="J28" i="2"/>
  <c r="H51" i="4"/>
  <c r="J51" i="4" s="1"/>
  <c r="D50" i="4"/>
  <c r="D45" i="4"/>
  <c r="H49" i="4"/>
  <c r="J49" i="4" s="1"/>
  <c r="H48" i="4"/>
  <c r="J48" i="4" s="1"/>
  <c r="H47" i="4"/>
  <c r="J47" i="4" s="1"/>
  <c r="H46" i="4"/>
  <c r="J46" i="4" s="1"/>
  <c r="K46" i="4" s="1"/>
  <c r="D7" i="4"/>
  <c r="H11" i="4"/>
  <c r="J11" i="4" s="1"/>
  <c r="H10" i="4"/>
  <c r="J10" i="4" s="1"/>
  <c r="H9" i="4"/>
  <c r="J9" i="4" s="1"/>
  <c r="H8" i="4"/>
  <c r="J8" i="4" s="1"/>
  <c r="D66" i="2"/>
  <c r="H67" i="2"/>
  <c r="J67" i="2" s="1"/>
  <c r="K67" i="2" s="1"/>
  <c r="H68" i="2"/>
  <c r="J68" i="2" s="1"/>
  <c r="H9" i="2"/>
  <c r="J9" i="2" s="1"/>
  <c r="H10" i="2"/>
  <c r="J10" i="2" s="1"/>
  <c r="D8" i="2"/>
  <c r="H69" i="2"/>
  <c r="J69" i="2" s="1"/>
  <c r="H11" i="2"/>
  <c r="J11" i="2" s="1"/>
  <c r="H12" i="2"/>
  <c r="H25" i="7"/>
  <c r="J25" i="7" s="1"/>
  <c r="H21" i="7"/>
  <c r="J21" i="7" s="1"/>
  <c r="H20" i="7"/>
  <c r="J20" i="7" s="1"/>
  <c r="H13" i="7"/>
  <c r="J13" i="7" s="1"/>
  <c r="H12" i="7"/>
  <c r="J12" i="7" s="1"/>
  <c r="H15" i="7"/>
  <c r="H16" i="7"/>
  <c r="H17" i="7"/>
  <c r="H18" i="7"/>
  <c r="J18" i="7"/>
  <c r="H19" i="7"/>
  <c r="J24" i="7"/>
  <c r="J23" i="7"/>
  <c r="J10" i="7"/>
  <c r="E9" i="7"/>
  <c r="H9" i="7" s="1"/>
  <c r="J9" i="7" s="1"/>
  <c r="E8" i="7"/>
  <c r="J7" i="7"/>
  <c r="J12" i="4" l="1"/>
  <c r="E14" i="7"/>
  <c r="H14" i="7" s="1"/>
  <c r="J14" i="7" s="1"/>
  <c r="H8" i="7"/>
  <c r="J8" i="7" s="1"/>
  <c r="J27" i="7" s="1"/>
  <c r="D7" i="5" l="1"/>
  <c r="D8" i="5" s="1"/>
  <c r="H25" i="6"/>
  <c r="J25" i="6" s="1"/>
  <c r="H24" i="6"/>
  <c r="J24" i="6" s="1"/>
  <c r="J20" i="6"/>
  <c r="J19" i="6"/>
  <c r="H18" i="6"/>
  <c r="J18" i="6" s="1"/>
  <c r="H14" i="6"/>
  <c r="J14" i="6" s="1"/>
  <c r="H12" i="6"/>
  <c r="J12" i="6" s="1"/>
  <c r="J8" i="6"/>
  <c r="H7" i="6"/>
  <c r="J7" i="6" s="1"/>
  <c r="B6" i="6"/>
  <c r="J9" i="6" l="1"/>
  <c r="D38" i="5" s="1"/>
  <c r="J21" i="6"/>
  <c r="D40" i="5" s="1"/>
  <c r="J26" i="6"/>
  <c r="D41" i="5" s="1"/>
  <c r="J15" i="6"/>
  <c r="D39" i="5" s="1"/>
  <c r="J7" i="3"/>
  <c r="J8" i="3" s="1"/>
  <c r="J25" i="3"/>
  <c r="J26" i="3"/>
  <c r="J27" i="3"/>
  <c r="J28" i="3"/>
  <c r="J29" i="3"/>
  <c r="J30" i="3"/>
  <c r="J24" i="3"/>
  <c r="J23" i="3"/>
  <c r="J22" i="3"/>
  <c r="H17" i="3"/>
  <c r="J17" i="3" s="1"/>
  <c r="H16" i="3"/>
  <c r="J28" i="6" l="1"/>
  <c r="D42" i="5"/>
  <c r="D31" i="5"/>
  <c r="J31" i="3"/>
  <c r="D34" i="5" s="1"/>
  <c r="J16" i="3"/>
  <c r="J18" i="3" s="1"/>
  <c r="D33" i="5" s="1"/>
  <c r="H24" i="2"/>
  <c r="H22" i="2"/>
  <c r="H21" i="2"/>
  <c r="F23" i="2"/>
  <c r="H23" i="2" s="1"/>
  <c r="J23" i="2" s="1"/>
  <c r="D58" i="2"/>
  <c r="D59" i="2" s="1"/>
  <c r="D60" i="2" s="1"/>
  <c r="D56" i="2"/>
  <c r="D55" i="2"/>
  <c r="D54" i="2"/>
  <c r="J33" i="3" l="1"/>
  <c r="D35" i="5"/>
  <c r="D31" i="4"/>
  <c r="H31" i="4" s="1"/>
  <c r="J31" i="4" s="1"/>
  <c r="D48" i="2"/>
  <c r="H48" i="2" s="1"/>
  <c r="J48" i="2" s="1"/>
  <c r="H52" i="4"/>
  <c r="J52" i="4" s="1"/>
  <c r="H44" i="4"/>
  <c r="J44" i="4" s="1"/>
  <c r="J43" i="4"/>
  <c r="H57" i="4"/>
  <c r="J57" i="4" s="1"/>
  <c r="J28" i="4"/>
  <c r="D27" i="4"/>
  <c r="H27" i="4" s="1"/>
  <c r="J27" i="4" s="1"/>
  <c r="H26" i="4"/>
  <c r="J26" i="4" s="1"/>
  <c r="H56" i="4"/>
  <c r="J56" i="4" s="1"/>
  <c r="D37" i="4"/>
  <c r="H37" i="4" s="1"/>
  <c r="J37" i="4" s="1"/>
  <c r="F36" i="4"/>
  <c r="H32" i="4"/>
  <c r="J32" i="4" s="1"/>
  <c r="D16" i="4"/>
  <c r="D29" i="4" s="1"/>
  <c r="D21" i="5"/>
  <c r="D49" i="2"/>
  <c r="H49" i="2" s="1"/>
  <c r="J49" i="2" s="1"/>
  <c r="H35" i="2"/>
  <c r="J35" i="2" s="1"/>
  <c r="D41" i="2"/>
  <c r="H41" i="2" s="1"/>
  <c r="H72" i="2"/>
  <c r="J72" i="2" s="1"/>
  <c r="J45" i="2"/>
  <c r="H76" i="2"/>
  <c r="J76" i="2" s="1"/>
  <c r="E54" i="2"/>
  <c r="E55" i="2"/>
  <c r="E53" i="2"/>
  <c r="D53" i="2"/>
  <c r="J24" i="2"/>
  <c r="J21" i="2"/>
  <c r="J22" i="2"/>
  <c r="D20" i="2"/>
  <c r="H19" i="2"/>
  <c r="J19" i="2" s="1"/>
  <c r="E18" i="2"/>
  <c r="D18" i="2"/>
  <c r="F18" i="2"/>
  <c r="E31" i="2" s="1"/>
  <c r="H31" i="2" s="1"/>
  <c r="J31" i="2" s="1"/>
  <c r="F16" i="2"/>
  <c r="H16" i="2" s="1"/>
  <c r="J16" i="2" s="1"/>
  <c r="J12" i="2"/>
  <c r="H70" i="2"/>
  <c r="J70" i="2" s="1"/>
  <c r="D44" i="2"/>
  <c r="H44" i="2" s="1"/>
  <c r="H43" i="2"/>
  <c r="J43" i="2" s="1"/>
  <c r="E59" i="2"/>
  <c r="F59" i="2"/>
  <c r="F60" i="2" s="1"/>
  <c r="E60" i="2"/>
  <c r="F58" i="2"/>
  <c r="E58" i="2"/>
  <c r="H57" i="2"/>
  <c r="J57" i="2" s="1"/>
  <c r="J78" i="2"/>
  <c r="J79" i="2"/>
  <c r="J65" i="2"/>
  <c r="H7" i="2"/>
  <c r="J7" i="2" s="1"/>
  <c r="H20" i="2" l="1"/>
  <c r="J20" i="2" s="1"/>
  <c r="J32" i="2" s="1"/>
  <c r="J82" i="2"/>
  <c r="D17" i="5" s="1"/>
  <c r="J13" i="2"/>
  <c r="D11" i="5" s="1"/>
  <c r="J73" i="2"/>
  <c r="D16" i="5" s="1"/>
  <c r="J63" i="4"/>
  <c r="D27" i="5" s="1"/>
  <c r="J53" i="4"/>
  <c r="D26" i="5" s="1"/>
  <c r="D36" i="4"/>
  <c r="H36" i="4" s="1"/>
  <c r="J36" i="4" s="1"/>
  <c r="D30" i="4"/>
  <c r="H29" i="4"/>
  <c r="J29" i="4" s="1"/>
  <c r="D38" i="4"/>
  <c r="H38" i="4" s="1"/>
  <c r="J38" i="4" s="1"/>
  <c r="H16" i="4"/>
  <c r="J16" i="4" s="1"/>
  <c r="D46" i="2"/>
  <c r="H54" i="2"/>
  <c r="J54" i="2" s="1"/>
  <c r="H55" i="2"/>
  <c r="J55" i="2" s="1"/>
  <c r="H53" i="2"/>
  <c r="J53" i="2" s="1"/>
  <c r="H18" i="2"/>
  <c r="J18" i="2" s="1"/>
  <c r="J41" i="2"/>
  <c r="H56" i="2"/>
  <c r="J56" i="2" s="1"/>
  <c r="J44" i="2"/>
  <c r="J17" i="4" l="1"/>
  <c r="D22" i="5" s="1"/>
  <c r="D12" i="5"/>
  <c r="J39" i="4"/>
  <c r="D25" i="5" s="1"/>
  <c r="D20" i="4"/>
  <c r="H20" i="4" s="1"/>
  <c r="J20" i="4" s="1"/>
  <c r="J21" i="4" s="1"/>
  <c r="D23" i="5" s="1"/>
  <c r="H30" i="4"/>
  <c r="J30" i="4" s="1"/>
  <c r="H46" i="2"/>
  <c r="J46" i="2" s="1"/>
  <c r="D47" i="2"/>
  <c r="J33" i="4" l="1"/>
  <c r="J65" i="4" s="1"/>
  <c r="H47" i="2"/>
  <c r="J47" i="2" s="1"/>
  <c r="D36" i="2"/>
  <c r="H36" i="2" s="1"/>
  <c r="J36" i="2" s="1"/>
  <c r="J37" i="2" s="1"/>
  <c r="D13" i="5" s="1"/>
  <c r="D24" i="5" l="1"/>
  <c r="D28" i="5" s="1"/>
  <c r="D14" i="5"/>
  <c r="J50" i="2"/>
  <c r="H60" i="2"/>
  <c r="J60" i="2" s="1"/>
  <c r="H59" i="2"/>
  <c r="J59" i="2" s="1"/>
  <c r="H58" i="2"/>
  <c r="J58" i="2" s="1"/>
  <c r="J61" i="2" l="1"/>
  <c r="J84" i="2" l="1"/>
  <c r="D15" i="5"/>
  <c r="D18" i="5" l="1"/>
  <c r="D44" i="5"/>
</calcChain>
</file>

<file path=xl/sharedStrings.xml><?xml version="1.0" encoding="utf-8"?>
<sst xmlns="http://schemas.openxmlformats.org/spreadsheetml/2006/main" count="680" uniqueCount="226">
  <si>
    <t>Description of Items</t>
  </si>
  <si>
    <t>Length</t>
  </si>
  <si>
    <t>Width</t>
  </si>
  <si>
    <t>Height</t>
  </si>
  <si>
    <t>Quantity</t>
  </si>
  <si>
    <t>Rate</t>
  </si>
  <si>
    <t>Amount</t>
  </si>
  <si>
    <t>Remarks</t>
  </si>
  <si>
    <t>Sr. No.</t>
  </si>
  <si>
    <t>cum</t>
  </si>
  <si>
    <t>Sqm</t>
  </si>
  <si>
    <t>-</t>
  </si>
  <si>
    <t>kg</t>
  </si>
  <si>
    <t>sqm</t>
  </si>
  <si>
    <t>Metre</t>
  </si>
  <si>
    <t>Providing and laying in position cement concrete of ratio 1:1.5:3 for PCC of the footing excluding the cost of centring and shuttering</t>
  </si>
  <si>
    <t>Kg</t>
  </si>
  <si>
    <t xml:space="preserve">Reinforcement @ percentage of concrete
@ 0.7 to 1% in lintels, slabs, etc
@ 1 % to 2 % in beams
@ 1% to 5% in columns
@ 0.5% to 0.8% in foundation rafts, footing </t>
  </si>
  <si>
    <t>Providing and laying in position specified grade of reinforced cement concrete of grade  1:1.5:3 (1 cement : 1.5 coarse sand (zone-III) derived from natural sources : 3 graded stone aggregate 20 mm nominal size derived from natural sources) , excluding the cost of centrin, shuttering, finishing and reinforcement</t>
  </si>
  <si>
    <t>Cement concrete flooring 40 mm thick in 1:2:4 (1 cement : 2 coarse sand : 4 graded stone aggregate) finished with a floating coat of neat cement, including cement slurry, but excluding the cost of nosing of steps etc. complete.</t>
  </si>
  <si>
    <t>Brick work with common burnt clay F.P.S. (non modular) bricks of class designation 7.5 in foundation and plinth in  1:4 cement mortar:</t>
  </si>
  <si>
    <t>15 mm cement plaster of mix in 1:4 ratio for external walls</t>
  </si>
  <si>
    <t>12 mm cement plaster of mix in 1:6 ratio for internal walls</t>
  </si>
  <si>
    <t>Area of slab over 0.50 sqm</t>
  </si>
  <si>
    <t>Providing edge moulding to 18 mm thick marble stone granite counters, Vanities etc., including machine polishing to edge to give high gloss finish etc. complete as per design approved by Engineer-in-Charge.</t>
  </si>
  <si>
    <t>Extra for providing opening of required size &amp; shape for wash basin/ kitchen sink in kitchen platform, vanity counter and similar location in marble/ Granite/ stone work, including necessary holes for pillar taps etc. including moulding, rubbing and polishing of cut edges etc. complete.</t>
  </si>
  <si>
    <t>each</t>
  </si>
  <si>
    <t>Urinals</t>
  </si>
  <si>
    <t>Wash Basins</t>
  </si>
  <si>
    <t>Providing and Fixing of fixtures with piping systems</t>
  </si>
  <si>
    <t>Water Closets with water jets</t>
  </si>
  <si>
    <t>Providing and fixing P.V.C. waste pipe for sink or wash basin including P.V.C. waste fittings complete.</t>
  </si>
  <si>
    <t>Flexible pipe 32mm Dia</t>
  </si>
  <si>
    <t>Providing and fixing 100 mm sand cast Iron grating for gully trap.</t>
  </si>
  <si>
    <t>Wall mirrors</t>
  </si>
  <si>
    <t>Item No.</t>
  </si>
  <si>
    <t>Construction of Office</t>
  </si>
  <si>
    <t>metre</t>
  </si>
  <si>
    <t>Earth work in excavation by mechanical means (Hydraulic excavator)/ manual means over areas exceeding 30 cm in depth, 1.5m in width including getting out and disposal of excavated earth lead up to 50 m and lift up to 1.5 m as directed by Engineer in incharge</t>
  </si>
  <si>
    <t>Colum</t>
  </si>
  <si>
    <t>Foundation</t>
  </si>
  <si>
    <t>Structural Framing</t>
  </si>
  <si>
    <t xml:space="preserve">Length </t>
  </si>
  <si>
    <t xml:space="preserve">Width </t>
  </si>
  <si>
    <t xml:space="preserve">Height </t>
  </si>
  <si>
    <t>All 3 Colums</t>
  </si>
  <si>
    <t>All 3 Footings</t>
  </si>
  <si>
    <t>Beam 1</t>
  </si>
  <si>
    <t>Beam 3</t>
  </si>
  <si>
    <t>Beam 2</t>
  </si>
  <si>
    <r>
      <t xml:space="preserve">Brick work with common burnt clay F.P.S. (non modular) bricks of class designation 7.5 in superstructure above plinth level up to floor V level in all shapes and sizes in 1:4 cement mortar </t>
    </r>
    <r>
      <rPr>
        <b/>
        <sz val="11"/>
        <color theme="1"/>
        <rFont val="Arial"/>
        <family val="2"/>
      </rPr>
      <t>(4.5'' Wall)</t>
    </r>
  </si>
  <si>
    <r>
      <t xml:space="preserve">Brick work with common burnt clay F.P.S. (non modular) bricks of class designation 7.5 in superstructure above plinth level up to floor V level in all shapes and sizes in 1:4 cement mortar </t>
    </r>
    <r>
      <rPr>
        <b/>
        <sz val="11"/>
        <color theme="1"/>
        <rFont val="Arial"/>
        <family val="2"/>
      </rPr>
      <t>(9'' Wall)</t>
    </r>
  </si>
  <si>
    <t>Centering and shuttering including strutting, propping etc. and removal of form work for Foundations, footings and bases for colums</t>
  </si>
  <si>
    <t>Female Toilet, Store area and Male toilet perimeter considered</t>
  </si>
  <si>
    <t>Female Toilet and Male toilet considered</t>
  </si>
  <si>
    <t>L shape work
Only Female Toilet Considered</t>
  </si>
  <si>
    <t>Dimensions in Feet
Only Female Toilet Considered'</t>
  </si>
  <si>
    <t>Dimensions in Feet
Only Female Toilet Considered</t>
  </si>
  <si>
    <t>Only Female Toilet and Store area Considered</t>
  </si>
  <si>
    <r>
      <t xml:space="preserve">Providing and applying white cement based putty of average thickness 1 mm, of approved brand and manufacturer, over the plastered wall surface to prepare the surface even and smooth complete. </t>
    </r>
    <r>
      <rPr>
        <b/>
        <sz val="11"/>
        <color theme="1"/>
        <rFont val="Arial"/>
        <family val="2"/>
      </rPr>
      <t>(Female Toilet and Store)</t>
    </r>
  </si>
  <si>
    <r>
      <t xml:space="preserve">Applying one coat of water thinnable cement primer of approved brand and manufacture on wall surface </t>
    </r>
    <r>
      <rPr>
        <b/>
        <sz val="11"/>
        <color theme="1"/>
        <rFont val="Arial"/>
        <family val="2"/>
      </rPr>
      <t>(Female Toilet and Store)</t>
    </r>
  </si>
  <si>
    <r>
      <t xml:space="preserve">2 Coats Wall painting with premium acrylic emulsion paint of interior grade, having VOC (Volatile Organic Compound) content less than 50 grams/ litre of approved brand and manufacture, including applying additional coats wherever required to achieve even shade and colour. </t>
    </r>
    <r>
      <rPr>
        <b/>
        <sz val="11"/>
        <color theme="1"/>
        <rFont val="Arial"/>
        <family val="2"/>
      </rPr>
      <t>(Female Toilet and Store)</t>
    </r>
  </si>
  <si>
    <r>
      <t xml:space="preserve">Providing and applying white cement based putty of average thickness 1 mm, of approved brand and manufacturer, over the plastered wall surface to prepare the surface even and smooth complete. </t>
    </r>
    <r>
      <rPr>
        <b/>
        <sz val="11"/>
        <color theme="1"/>
        <rFont val="Arial"/>
        <family val="2"/>
      </rPr>
      <t>(Male Toilet)</t>
    </r>
  </si>
  <si>
    <r>
      <t xml:space="preserve">Applying one coat of water thinnable cement primer of approved brand and manufacture on wall surface </t>
    </r>
    <r>
      <rPr>
        <b/>
        <sz val="11"/>
        <color theme="1"/>
        <rFont val="Arial"/>
        <family val="2"/>
      </rPr>
      <t>(Male Toilet)</t>
    </r>
  </si>
  <si>
    <r>
      <t xml:space="preserve">Providing and fixing 18 mm thick gang saw cut, mirror polished, premoulded and prepolished, machine cut Granite stone slab all colour and texture except black, Cherry/Ruby red for toilet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t>
    </r>
    <r>
      <rPr>
        <b/>
        <sz val="11"/>
        <color theme="1"/>
        <rFont val="Arial"/>
        <family val="2"/>
      </rPr>
      <t>(Female Toilet)</t>
    </r>
  </si>
  <si>
    <r>
      <t xml:space="preserve">Providing and fixing 18 mm thick gang saw cut, mirror polished, premoulded and prepolished, machine cut Granite stone slab all colour and texture except black, Cherry/Ruby red for toilet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t>
    </r>
    <r>
      <rPr>
        <b/>
        <sz val="11"/>
        <color theme="1"/>
        <rFont val="Arial"/>
        <family val="2"/>
      </rPr>
      <t>(Male Toilet)</t>
    </r>
  </si>
  <si>
    <t>Female Toilet</t>
  </si>
  <si>
    <t>Male Toilet</t>
  </si>
  <si>
    <t>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t>
  </si>
  <si>
    <t>Unit of Quantity</t>
  </si>
  <si>
    <r>
      <t xml:space="preserve">15 mm nominal dia Pipes </t>
    </r>
    <r>
      <rPr>
        <b/>
        <sz val="11"/>
        <color theme="1"/>
        <rFont val="Arial"/>
        <family val="2"/>
      </rPr>
      <t>(Female Toilet)</t>
    </r>
  </si>
  <si>
    <r>
      <t xml:space="preserve">15 mm nominal dia Pipes </t>
    </r>
    <r>
      <rPr>
        <b/>
        <sz val="11"/>
        <color theme="1"/>
        <rFont val="Arial"/>
        <family val="2"/>
      </rPr>
      <t>(Male Toilet)</t>
    </r>
  </si>
  <si>
    <r>
      <t>Cement plaster skirting up to 30 cm height and 18mm thickness, with cement mortar 1:3 (1 cement : 3 coarse sand), finished with a floating coat of neat cement.</t>
    </r>
    <r>
      <rPr>
        <b/>
        <sz val="11"/>
        <color theme="1"/>
        <rFont val="Arial"/>
        <family val="2"/>
      </rPr>
      <t xml:space="preserve"> (Female Toilet and Store Area)</t>
    </r>
  </si>
  <si>
    <r>
      <t>Cement plaster skirting up to 30 cm height and 18mm thickness, with cement mortar 1:3 (1 cement : 3 coarse sand), finished with a floating coat of neat cement.</t>
    </r>
    <r>
      <rPr>
        <b/>
        <sz val="11"/>
        <color theme="1"/>
        <rFont val="Arial"/>
        <family val="2"/>
      </rPr>
      <t xml:space="preserve"> (Male Toilet)</t>
    </r>
  </si>
  <si>
    <t>Female Toilet, Store area considered</t>
  </si>
  <si>
    <t>Female Toilet, Store area  considered</t>
  </si>
  <si>
    <t>Male toilet considered</t>
  </si>
  <si>
    <r>
      <t xml:space="preserve">Providing and laying damp-proof course (DPC) 40mm thick with cement concrete 1:2:4 (1 cement : 2 coarse sand (zone-III) derived from natural sources : 4 graded stone aggregate 12.5mm nominal size derived from natural sources) </t>
    </r>
    <r>
      <rPr>
        <b/>
        <sz val="11"/>
        <color theme="1"/>
        <rFont val="Arial"/>
        <family val="2"/>
      </rPr>
      <t>(Female Toilet and Store Area)</t>
    </r>
  </si>
  <si>
    <r>
      <t xml:space="preserve">Providing and laying damp-proof course (DPC) 40mm thick with cement concrete 1:2:4 (1 cement : 2 coarse sand (zone-III) derived from natural sources : 4 graded stone aggregate 12.5mm nominal size derived from natural sources) </t>
    </r>
    <r>
      <rPr>
        <b/>
        <sz val="11"/>
        <color theme="1"/>
        <rFont val="Arial"/>
        <family val="2"/>
      </rPr>
      <t>(Male Toilet)</t>
    </r>
  </si>
  <si>
    <r>
      <t xml:space="preserve">Providing &amp; applying a coat of residual petroleum bitumen of grade of VG-10 of approved quality using 1.7kg per square metre on damp proof course after cleaning the surface with brushes and finally with a piece of cloth cloth lightly soaked in Kerosene Oil </t>
    </r>
    <r>
      <rPr>
        <b/>
        <sz val="11"/>
        <color theme="1"/>
        <rFont val="Arial"/>
        <family val="2"/>
      </rPr>
      <t>(Female Toilet and Store Area)</t>
    </r>
  </si>
  <si>
    <r>
      <t xml:space="preserve">Making plinth protection 50mm thick of cement concrete 1:3:6 (1 cement : 3 coarse sand (zone-III) derived from natural sources : 6 graded stone aggregate 20 mm nominal size derived from natural sources) over thick bed of dry brick ballast 40 mm nominal size, well rammed and 75mm consolidated and grouted with fine sand, including necessary excavation, levelling &amp; dressing &amp; finishing the top smooth. </t>
    </r>
    <r>
      <rPr>
        <b/>
        <sz val="11"/>
        <color theme="1"/>
        <rFont val="Arial"/>
        <family val="2"/>
      </rPr>
      <t>(Female Toilet and Store area)</t>
    </r>
  </si>
  <si>
    <r>
      <t xml:space="preserve">Making plinth protection 50mm thick of cement concrete 1:3:6 (1 cement : 3 coarse sand (zone-III) derived from natural sources : 6 graded stone aggregate 20 mm nominal size derived from natural sources) over thick bed of dry brick ballast 40 mm nominal size, well rammed and 75mm consolidated and grouted with fine sand, including necessary excavation, levelling &amp; dressing &amp; finishing the top smooth. </t>
    </r>
    <r>
      <rPr>
        <b/>
        <sz val="11"/>
        <color theme="1"/>
        <rFont val="Arial"/>
        <family val="2"/>
      </rPr>
      <t>(Male Toilet)</t>
    </r>
  </si>
  <si>
    <r>
      <t>Excavating trenches of required width for pipes, cables, etc including excavation for sockets and dressing of sides, ramming of bottom depth up to 1.5 m, including getting out the excavated soil and then returning the soil as required, in layers not exceeding 20 cm in depth, including consolidating each deposited layer by ramming watering etc and disposing surplus excavated soil as directed within a lead of 50 m.</t>
    </r>
    <r>
      <rPr>
        <b/>
        <sz val="11"/>
        <color theme="1"/>
        <rFont val="Arial"/>
        <family val="2"/>
      </rPr>
      <t xml:space="preserve"> (Female Toilet)</t>
    </r>
  </si>
  <si>
    <r>
      <t>Excavating trenches of required width for pipes, cables, etc including excavation for sockets and dressing of sides, ramming of bottom depth up to 1.5 m, including getting out the excavated soil and then returning the soil as required, in layers not exceeding 20 cm in depth, including consolidating each deposited layer by ramming watering etc and disposing surplus excavated soil as directed within a lead of 50 m</t>
    </r>
    <r>
      <rPr>
        <b/>
        <sz val="11"/>
        <color theme="1"/>
        <rFont val="Arial"/>
        <family val="2"/>
      </rPr>
      <t xml:space="preserve"> (Male Toilet)</t>
    </r>
  </si>
  <si>
    <r>
      <t xml:space="preserve">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
    </r>
    <r>
      <rPr>
        <b/>
        <sz val="11"/>
        <color theme="1"/>
        <rFont val="Arial"/>
        <family val="2"/>
      </rPr>
      <t>(Female Toilet)</t>
    </r>
    <r>
      <rPr>
        <sz val="11"/>
        <color theme="1"/>
        <rFont val="Arial"/>
        <family val="2"/>
      </rPr>
      <t xml:space="preserve">
The rate includes preparation of surface, treatment and sealing of all joints, corners, junctions of pipes and masonry with polymer mixed slurry.</t>
    </r>
  </si>
  <si>
    <r>
      <t xml:space="preserve">Providing and laying water proofing treatment in sunken portion of WCs, bathroom etc., by applying cement slurry mixed with water proofing cement compound consisting of applying :
(a) First layer of slurry of cement @ 0.488 kg/sqm mixed with water proofing cement compound @ 0.253 kg/ sqm. This layer will be allowed to air cure for 4 hours.
(b) Second layer of slurry of cement @ 0.242 kg/sqm mixed with water proofing cement compound @ 0.126 kg/sqm. This layer will be allowed to air cure for 4 hours followed with water curing for 48 hours. 
The rate includes preparation of surface, treatment and sealing of all joints, corners, junctions of pipes and masonry with polymer mixed slurry. </t>
    </r>
    <r>
      <rPr>
        <b/>
        <sz val="11"/>
        <color theme="1"/>
        <rFont val="Arial"/>
        <family val="2"/>
      </rPr>
      <t>(Male Toilet)</t>
    </r>
  </si>
  <si>
    <r>
      <t xml:space="preserve">Providing and laying Glazed Vitrified tiles Matt/Antiskid finish of Size of Tile 800 x 1200 mm in floor in different sizes (thickness to be specified by the manufacturer) with water absorption less than 0.08% and conforming to IS:15622, of approved brand &amp; manufacturer, in all colours and shade, laid on 20 mm thick cement mortar 1:4 (1 cement:4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t>
    </r>
    <r>
      <rPr>
        <b/>
        <sz val="11"/>
        <color theme="1"/>
        <rFont val="Arial"/>
        <family val="2"/>
      </rPr>
      <t>(Male Toilet)</t>
    </r>
  </si>
  <si>
    <t>Construction of Male Toilet</t>
  </si>
  <si>
    <t>EXCAVATION WORKS</t>
  </si>
  <si>
    <t>PCC AND RCC WORKS</t>
  </si>
  <si>
    <t>FLOORING WORKS</t>
  </si>
  <si>
    <t>DRAINAGE AND WATER PIPE WORKS</t>
  </si>
  <si>
    <t>BRICKWORKS, PLASTERING AND PAINTING WORKS</t>
  </si>
  <si>
    <t>MISCELLANEOUS WORKS</t>
  </si>
  <si>
    <t>Construction of Female Toilets and Store Area</t>
  </si>
  <si>
    <t>SUB TOTAL (EXCAVATION WORKS):</t>
  </si>
  <si>
    <t>SUB TOTAL (PCC AND RCC WORKS)</t>
  </si>
  <si>
    <t>SUB TOTAL (FLOORING WORKS)</t>
  </si>
  <si>
    <t>SUB TOTAL (BRICKWORKS, PLASTERING AND PAINTING WORKS)</t>
  </si>
  <si>
    <t>SUB TOTAL (DRAINAGE AND WATER PIPE WORKS)</t>
  </si>
  <si>
    <t>SUB TOTAL (MISCELLANEOUS WORKS)</t>
  </si>
  <si>
    <t>GRAND TOTAL</t>
  </si>
  <si>
    <t>PLASTERING AND PAINTING WORKS</t>
  </si>
  <si>
    <t>STONE GRANITE WORKS, DPC AND WATER PROOFING</t>
  </si>
  <si>
    <t>SUB TOTAL (STONE AND GRANITE WORKS, DPC WATERPROOFING)</t>
  </si>
  <si>
    <t>STONE GRANITE WORKS, DPC AND WATER PROOFING WORKS</t>
  </si>
  <si>
    <t>MISCELLAENOUS WORKS</t>
  </si>
  <si>
    <t>SUB TOTAL (EXCAVATION WORKS)</t>
  </si>
  <si>
    <t>SUB TOTAL (STONE GRANITE WORKS, DPC AND WATERPROOFING)</t>
  </si>
  <si>
    <t>SUB TOTAL (PLASTERING AND PAINTING WORKS)</t>
  </si>
  <si>
    <t>SUB TOTAL (MISCELLAENOUS WORKS)</t>
  </si>
  <si>
    <r>
      <t xml:space="preserve">Providing &amp; applying a coat of residual petroleum bitumen of grade of VG-10 of approved quality using 1.7kg per square metre on damp proof course after cleaning the surface with brushes and finally with a piece of cloth lightly soaked in Kerosene Oil </t>
    </r>
    <r>
      <rPr>
        <b/>
        <sz val="11"/>
        <color theme="1"/>
        <rFont val="Arial"/>
        <family val="2"/>
      </rPr>
      <t>(Male Toilet)</t>
    </r>
  </si>
  <si>
    <r>
      <t xml:space="preserve">2 Coats Wall painting with premium acrylic emulsion paint of interior grade, having VOC (Volatile Organic Compound) content less than 50 grams/ litre of approved brand and manufacture, including applying additional coats wherever required to achieve even colour. </t>
    </r>
    <r>
      <rPr>
        <b/>
        <sz val="11"/>
        <color theme="1"/>
        <rFont val="Arial"/>
        <family val="2"/>
      </rPr>
      <t>(Male Toilet)</t>
    </r>
  </si>
  <si>
    <t>Slab Works</t>
  </si>
  <si>
    <t>Cabin chairs.</t>
  </si>
  <si>
    <t>Cubicle/Workstation area chairs</t>
  </si>
  <si>
    <t>Meeting Room chairs.</t>
  </si>
  <si>
    <t>No.</t>
  </si>
  <si>
    <t>Providing and Fixing of Components in the Office</t>
  </si>
  <si>
    <t>Providing and Fixing Inner Partition walls</t>
  </si>
  <si>
    <t>sqft</t>
  </si>
  <si>
    <t>Providing and Fixing Outer Parition Gypsum wall</t>
  </si>
  <si>
    <t>Meeting Room Table</t>
  </si>
  <si>
    <t>Cubicle Table</t>
  </si>
  <si>
    <t>Cabin Table</t>
  </si>
  <si>
    <t>Workstation table(L Shape)</t>
  </si>
  <si>
    <t>Storage in Workstation area: 2700 x 450 x 1200 mm high with Drawer &amp; shutter.</t>
  </si>
  <si>
    <t>Printer Station</t>
  </si>
  <si>
    <t>FALSE CEILING WORKS</t>
  </si>
  <si>
    <t>PARTITION WALL WORKS</t>
  </si>
  <si>
    <t>MISCELLANEOUS COMPONENTS IN OFFICE</t>
  </si>
  <si>
    <t>SUB TOTAL (FALSE CEILING WORKS)</t>
  </si>
  <si>
    <t>SUB TOTAL (PARTITION WALL WORKS)</t>
  </si>
  <si>
    <t>SUB TOTAL (MISCELLANEOUS COMPONENTS IN OFFICE)</t>
  </si>
  <si>
    <t>Summary</t>
  </si>
  <si>
    <t>Basic Estimated Cost</t>
  </si>
  <si>
    <t>Excavation works</t>
  </si>
  <si>
    <t>PCC and RCC works</t>
  </si>
  <si>
    <t>Flooring Works</t>
  </si>
  <si>
    <t>Stone Granite works,  DPC and Water Proofing works</t>
  </si>
  <si>
    <t>Brickworks, Plastering and Painting works</t>
  </si>
  <si>
    <t>Drainage and Water Pipe works</t>
  </si>
  <si>
    <t>Miscellaneous works</t>
  </si>
  <si>
    <t>Sub-Total</t>
  </si>
  <si>
    <t>Plastering and Painting works</t>
  </si>
  <si>
    <t>False Ceiling Works</t>
  </si>
  <si>
    <t>Partition Wall works</t>
  </si>
  <si>
    <t>Miscellaneous Components in Office</t>
  </si>
  <si>
    <t>SUMMARY OF PROJECT COST</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</si>
  <si>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t>
  </si>
  <si>
    <t>With common burnt clay F.P.S. (non modular) bricks of class designation 7.5</t>
  </si>
  <si>
    <t>SUB BASE AND BASE LAYER</t>
  </si>
  <si>
    <t>Laying, spreading and compacting stone aggregate of specified sizes to WBM specifications in uniform thickness, hand picking, rolling with 3 wheeled road/vibratory roller 8-10 tonne capacity in stages to proper grade and camber, applying and brooming requisite type of screening / binding material to fill up interstices of coarse aggregate, watering and compacting to the required density .</t>
  </si>
  <si>
    <t>Construction of dry lean cement concrete sub base over a prepared sub-grade with coarse and fine aggregate conforming to IS:383, the size of coarse aggregate not exceeding 25 mm, aggregate cement ratio not to exceed 15:1, aggregate gradation after blending to be as per specifications, cement content not to be less than 150 Kg/cum, optimum moisture content to be determined during trial length construction, concrete strength not to be less than 10 Mpa at 7 days, mixed in a batching plant, transported to site, for all leads &amp; lifts, laid with a mechanical paver, compacting with 8-10 tonne vibratory roller, finishing and curing etc. complete as per direction of Engineering- charge.</t>
  </si>
  <si>
    <t>CONCRETE LAYER</t>
  </si>
  <si>
    <t>Providing and laying C.C. pavement of mix M-25 with ready mixed concrete from batching plant. The ready mixed concrete shall be laid and finished with screed board vibrator , vacuum dewatering process and finally finished by floating, brooming with wire brush etc. complete as per specifications and directions of Engineer-in_x0002_charge. (The panel shuttering work shall be paid for separa</t>
  </si>
  <si>
    <t>Providing and fixing pre-moulded joint filler in expansion joints of RCC roads / CC pavements after making the joints dust free with high pressure air jet cleaners, all complete as per direction of the Engineer-in-Charge. (Pre-moulded joint fillers shall be made of bitumen hot sealing compound impregnated fibre board having impregnation more than 35%, conforming to IS:1838 for fibre board and IS: 1834 for hot sealing bitumen compound grade A.)</t>
  </si>
  <si>
    <t>per cm depth, per cm width, per metre length</t>
  </si>
  <si>
    <t>Steel (0.7% of total volume of concrete used)</t>
  </si>
  <si>
    <t>As per the usually market Practice</t>
  </si>
  <si>
    <t>Providing and laying 60mm thick factory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</si>
  <si>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</si>
  <si>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SUB TOTAL (SUB GRADE PREPARATION WORKS)</t>
  </si>
  <si>
    <t>SUB TOTAL (SUB GRADE AND BASE LAYER)</t>
  </si>
  <si>
    <t>SUB TOTAL (CONCRETE LAYER)</t>
  </si>
  <si>
    <t>SUB TOTAL ([PATHWAY WORK)</t>
  </si>
  <si>
    <t>CONSTRUCTION OF RIGID PAVEMENT</t>
  </si>
  <si>
    <t>Sub Grade Preparation</t>
  </si>
  <si>
    <t>Sub Base and Base Layer</t>
  </si>
  <si>
    <t>Concrete Layer</t>
  </si>
  <si>
    <t>PATHWAY WORK</t>
  </si>
  <si>
    <t>Pathway Work</t>
  </si>
  <si>
    <r>
      <t>CONSTRUCTION OF FEMALE TOILET AND STORE</t>
    </r>
    <r>
      <rPr>
        <b/>
        <sz val="11"/>
        <color theme="1"/>
        <rFont val="Arial"/>
        <family val="2"/>
      </rPr>
      <t xml:space="preserve"> (AREA= 737 Ft</t>
    </r>
    <r>
      <rPr>
        <b/>
        <vertAlign val="superscript"/>
        <sz val="11"/>
        <color theme="1"/>
        <rFont val="Arial"/>
        <family val="2"/>
      </rPr>
      <t>2</t>
    </r>
    <r>
      <rPr>
        <b/>
        <sz val="11"/>
        <color theme="1"/>
        <rFont val="Arial"/>
        <family val="2"/>
      </rPr>
      <t>)</t>
    </r>
  </si>
  <si>
    <r>
      <t>RENOVATION OF MALE TOILET</t>
    </r>
    <r>
      <rPr>
        <b/>
        <sz val="11"/>
        <color theme="1"/>
        <rFont val="Arial"/>
        <family val="2"/>
      </rPr>
      <t xml:space="preserve"> (AREA= 308 Ft</t>
    </r>
    <r>
      <rPr>
        <b/>
        <vertAlign val="superscript"/>
        <sz val="11"/>
        <color theme="1"/>
        <rFont val="Arial"/>
        <family val="2"/>
      </rPr>
      <t>2</t>
    </r>
    <r>
      <rPr>
        <b/>
        <sz val="11"/>
        <color theme="1"/>
        <rFont val="Arial"/>
        <family val="2"/>
      </rPr>
      <t>)</t>
    </r>
  </si>
  <si>
    <r>
      <t>CONSTRUCTION OF OFFICE SPACE</t>
    </r>
    <r>
      <rPr>
        <b/>
        <sz val="11"/>
        <color theme="1"/>
        <rFont val="Arial"/>
        <family val="2"/>
      </rPr>
      <t xml:space="preserve"> (AREA= 3,150 Ft</t>
    </r>
    <r>
      <rPr>
        <b/>
        <vertAlign val="superscript"/>
        <sz val="11"/>
        <color theme="1"/>
        <rFont val="Arial"/>
        <family val="2"/>
      </rPr>
      <t>2</t>
    </r>
    <r>
      <rPr>
        <b/>
        <sz val="11"/>
        <color theme="1"/>
        <rFont val="Arial"/>
        <family val="2"/>
      </rPr>
      <t>)</t>
    </r>
  </si>
  <si>
    <r>
      <t>CONSTRUCTION OF RIGID PAVEMENT</t>
    </r>
    <r>
      <rPr>
        <b/>
        <sz val="11"/>
        <color theme="1"/>
        <rFont val="Arial"/>
        <family val="2"/>
      </rPr>
      <t xml:space="preserve"> (Length= 127 m)</t>
    </r>
  </si>
  <si>
    <t>Dismantling/Demolition Works</t>
  </si>
  <si>
    <t>Dismantling of flushing cistern of all types (C.I./PVC/Vitrious China) including stacking of useful materials near the site and disposal of unservicable materials withing 50 metres lead.</t>
  </si>
  <si>
    <t>Nos</t>
  </si>
  <si>
    <t>all the dimensions are considered as per the site measurement</t>
  </si>
  <si>
    <t>Demolishing brick work manually/ by mechanical means including stacking of servicable material and disposal of unservicable material withing 50 metres lead as per direction of Engineer-in charge in cement mortar</t>
  </si>
  <si>
    <t>all the dimensions are considered as per the site measurement for temporary shed area</t>
  </si>
  <si>
    <t>all the dimensions are considered as per the site measurement for existing toilet area</t>
  </si>
  <si>
    <t>Dismantling doors, windows and clerestory windows (steel or wood) shutter including chowkhats, architrave, holdfasts etc. complete and stacking withing 50 metres lead of area 3 m^2 and below.</t>
  </si>
  <si>
    <t>tile flooring was found to be in existing toilet area only and same is considered for the calculation</t>
  </si>
  <si>
    <t>Disposal of building rubbish / malba / similar unserviceable, dismantled or waste material by mechnical means, including loading, transporting, unloadiing to approved municipal dumping ground or as approved by engineer in charge, beyong 50m initial lead, fo all leads including all lifts involved</t>
  </si>
  <si>
    <t>The disposal of malba from both the areas including temporary shed area and existing toilet area is considered here</t>
  </si>
  <si>
    <t>Removal of existing sanitary fixtures like Wash basins, Water Closets, Urinals</t>
  </si>
  <si>
    <t>Removal of Counter Granite</t>
  </si>
  <si>
    <t>Sq. m</t>
  </si>
  <si>
    <t>Dismantling steel work in single sections including dismembering and stacking withing 650 metres lead in</t>
  </si>
  <si>
    <t>Rolled Steel Joist like I Beam, H beam etc.</t>
  </si>
  <si>
    <t>Channels, angles,  tees and flats</t>
  </si>
  <si>
    <t xml:space="preserve">Dismantling of MS Griders and angles and other components of the roof  for Temporary shed </t>
  </si>
  <si>
    <t xml:space="preserve">Dismantle work of flooring of the temporary shed  </t>
  </si>
  <si>
    <t>Dismantling G.I. /PVC pipes (external work) including excavation and refilling trenches after taking out the pipes, including stacking of pipes within 50m lead</t>
  </si>
  <si>
    <t>Upto 40mm Dia</t>
  </si>
  <si>
    <t>R.Metre</t>
  </si>
  <si>
    <t>Taking out existing CC interlocking paver blocks from footpath/ central verge, including removal of rubbish etc., disposal of unserviceable material to the dumping ground, for which payment shall be made separately and stacking of serviceable material within 50 metre lead as per direction of Engineer-in-Charge.</t>
  </si>
  <si>
    <t>For thickness of Tiles 10 mm to 25mm</t>
  </si>
  <si>
    <t>More than 40 mm dia</t>
  </si>
  <si>
    <t>Dismantling tile work in floors laid in cement mortar including stacking material within 50 metres lead</t>
  </si>
  <si>
    <t xml:space="preserve">Dismantling GI Sheet roofing including ridges, hips, valleys and gutters etc., and stacking the material within 50 metres lead </t>
  </si>
  <si>
    <t>Dismantling aluminium/ Gypsum partitions, doors, windows, fixed glazing and False ceiling including disposal of unservicable material and stacking of servicable material within 50 metres lead as directed by Engineer-in-Charge</t>
  </si>
  <si>
    <t>Dismantling stone slab flooring laid in cement mortar including stacking of servicable material and disposal of unservicable material within 50 metres lead</t>
  </si>
  <si>
    <t>DISMANTLING OF EXISTING TOILET, EXISTING STORE AND PAVER BLOCKS</t>
  </si>
  <si>
    <t>DISMANTLING WORKS</t>
  </si>
  <si>
    <t>50 mm Diameter</t>
  </si>
  <si>
    <t>100 mm Diameter</t>
  </si>
  <si>
    <t>125 mm Diameter</t>
  </si>
  <si>
    <t>40 mm Diameter</t>
  </si>
  <si>
    <t>100 mm Diameter sand cast iron</t>
  </si>
  <si>
    <t>125 mm Diameter sand cast Iron</t>
  </si>
  <si>
    <t>40 mm Diameter PVC Pipe</t>
  </si>
  <si>
    <t>50 mm Diameter PVC Pipe</t>
  </si>
  <si>
    <t xml:space="preserve">Providing and fixing soil, waste and vent pipes </t>
  </si>
  <si>
    <t>Providing and fixing Under ground soil, waste and vent pipe</t>
  </si>
  <si>
    <t xml:space="preserve">20 mm nominal Dia pipes </t>
  </si>
  <si>
    <r>
      <t xml:space="preserve">Providing and laying Glazed Vitrified floor tiles of Size of Tile 600 x 600 mm in floor in different sizes (thickness to be specified by the manufacturer) with water absorption less than 0.08% and conforming to IS:15622, of approved brand &amp; manufacturer, in all colours and shade, laid on 20 mm thick cement mortar 1:4 (1 cement:4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t>
    </r>
    <r>
      <rPr>
        <b/>
        <sz val="11"/>
        <color theme="1"/>
        <rFont val="Arial"/>
        <family val="2"/>
      </rPr>
      <t>(Male Toilet)</t>
    </r>
  </si>
  <si>
    <r>
      <t>Providing and laying Glazed Vitrified tiles Matt/Antiskid finish of Size of Tile 600 x 600 mm in floor in different sizes (thickness to be specified by the manufacturer) with water absorption less than 0.08% and conforming to IS:15622, of approved brand &amp; manufacturer, in all colours and shade, laid on 20 mm thick cement mortar 1:4 (1 cement:4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t>
    </r>
    <r>
      <rPr>
        <b/>
        <sz val="11"/>
        <color theme="1"/>
        <rFont val="Arial"/>
        <family val="2"/>
      </rPr>
      <t xml:space="preserve"> (Female Toilet and Store Area)</t>
    </r>
  </si>
  <si>
    <t>Dismantling oof Existing Toilet, Existing Store and Paver Block</t>
  </si>
  <si>
    <t>Providing &amp; fixing false ceiling with semi perforated 12 mm tick micro tegular edged at all heights with GRG (Glass Fibre Reinforced Gypsum) false ceiling tiles of Size 595x595 mm of approved texture, design and patterns having moisture content less than 2%, humidity resistance of 99%, NRC0.50 to 0.75 as per IS 8225:1987, Non combustible as per BS 476 (part 4)-1970 and light reflectance of 85% (minimum) to be laid in true horizontal level suspended on interlocking metal T-Grid of hot dipped galvanised iron section of 0.33mm thick (galvanized @ 120 grams per sqm including both sides) comprising of main-T runners of size 15x32 mm of length 3000 mm, cross - T of size 15x32 mm of length 1200 mm and secondary intermediate cross-T of size 15x32 mm of length 600mm to form grid module of size 600 x 600 mm, suspended from ceiling using galvanised mild steel items (galvanizing @ 80 grams per sqm) i.e. 50 mm long, 8 mm outer diameter M-6 dash fasteners, 6 mm dia fully threaded hanger rod upto 1000 mm length and L-shape level adjuster of size 85x25x2 mm. Galvanised iron perimeter wall angle of size 24x24x0.40 mm of length 3000 mm to be fixed on periphery wall / partition with the help of plastic rawl plugs at 450 mm center to center and 40 mm long dry wall wood screws. The work shall be carried out as per specifications, drawing and as per directions of the Engineer-in-Charge.</t>
  </si>
  <si>
    <t>Faucets for Wash basin</t>
  </si>
  <si>
    <t>Faucets for Wash Basin</t>
  </si>
  <si>
    <t>Construction of granular sub-base (GSB) With material conforming to Grade-III (size range 26.5 mm to 0.075 mm ) having CBR Value-20 , mixing in a mechanical mix plant at OMC, carriage of mixed material by tippers to work site, for all leads &amp; lifts, spreading in uniform layers of specified thickness with motor grader on prepared surface and compacting with vibratory power roller to achieve the desired density, complete as per specifications and directions of Engineer-in-Charge.</t>
  </si>
  <si>
    <t>8 mm thick Granite stone of any shade tile work for wall lining upto 10 m height with special adhesive over 12 mm thick bed of cement mortar 1:3 (1 cement : 3 coarse sand), including pointing in white cement with an admixture of pigment to match the stone shade.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</si>
</sst>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quot;\ * #,##0.00_ ;_ &quot;₹&quot;\ * \-#,##0.00_ ;_ &quot;₹&quot;\ * &quot;-&quot;??_ ;_ @_ "/>
    <numFmt numFmtId="165" formatCode="_ * #,##0.00_ ;_ * \-#,##0.00_ ;_ * &quot;-&quot;??_ ;_ @_ "/>
    <numFmt numFmtId="166" formatCode="&quot;NIL&quot;"/>
    <numFmt numFmtId="167" formatCode="_ [$₹-4009]\ * #,##0.00_ ;_ [$₹-4009]\ * \-#,##0.00_ ;_ [$₹-4009]\ * &quot;-&quot;??_ ;_ @_ "/>
    <numFmt numFmtId="168" formatCode="0.000"/>
  </numFmts>
  <fonts count="21">
    <font>
      <sz val="11"/>
      <color theme="1"/>
      <name val="Calibri"/>
      <family val="2"/>
      <scheme val="minor"/>
    </font>
    <font>
      <sz val="11"/>
      <color theme="1"/>
      <name val="Arial"/>
      <family val="2"/>
    </font>
    <font>
      <b/>
      <u/>
      <sz val="16"/>
      <color theme="4" tint="-0.499984740745262"/>
      <name val="Arial"/>
      <family val="2"/>
    </font>
    <font>
      <b/>
      <sz val="11"/>
      <color theme="1"/>
      <name val="Arial"/>
      <family val="2"/>
    </font>
    <font>
      <sz val="11"/>
      <color rgb="FFFF0000"/>
      <name val="Arial"/>
      <family val="2"/>
    </font>
    <font>
      <b/>
      <sz val="12"/>
      <color theme="1"/>
      <name val="Arial"/>
      <family val="2"/>
    </font>
    <font>
      <sz val="12"/>
      <color theme="1"/>
      <name val="Arial"/>
      <family val="2"/>
    </font>
    <font>
      <b/>
      <sz val="12"/>
      <color theme="8" tint="-0.499984740745262"/>
      <name val="Arial"/>
      <family val="2"/>
    </font>
    <font>
      <b/>
      <sz val="14"/>
      <color theme="0"/>
      <name val="Arial"/>
      <family val="2"/>
    </font>
    <font>
      <b/>
      <u/>
      <sz val="14"/>
      <color theme="1"/>
      <name val="Arial"/>
      <family val="2"/>
    </font>
    <font>
      <sz val="11"/>
      <color theme="1"/>
      <name val="Calibri"/>
      <family val="2"/>
      <scheme val="minor"/>
    </font>
    <font>
      <sz val="11"/>
      <name val="Arial"/>
      <family val="2"/>
    </font>
    <font>
      <b/>
      <u/>
      <sz val="11"/>
      <color theme="1"/>
      <name val="Arial"/>
      <family val="2"/>
    </font>
    <font>
      <b/>
      <sz val="14"/>
      <color theme="1"/>
      <name val="Arial"/>
      <family val="2"/>
    </font>
    <font>
      <b/>
      <sz val="11"/>
      <color theme="0"/>
      <name val="Arial"/>
      <family val="2"/>
    </font>
    <font>
      <sz val="11"/>
      <color theme="0"/>
      <name val="Arial"/>
      <family val="2"/>
    </font>
    <font>
      <b/>
      <u/>
      <sz val="12"/>
      <color theme="4" tint="-0.499984740745262"/>
      <name val="Arial"/>
      <family val="2"/>
    </font>
    <font>
      <b/>
      <vertAlign val="superscript"/>
      <sz val="11"/>
      <color theme="1"/>
      <name val="Arial"/>
      <family val="2"/>
    </font>
    <font>
      <b/>
      <u/>
      <sz val="14"/>
      <name val="Arial"/>
      <family val="2"/>
    </font>
    <font>
      <sz val="11"/>
      <color theme="1"/>
      <name val="Calibri "/>
    </font>
    <font>
      <b/>
      <u/>
      <sz val="11"/>
      <color theme="1"/>
      <name val="Calibri "/>
    </font>
  </fonts>
  <fills count="10">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002060"/>
        <bgColor indexed="64"/>
      </patternFill>
    </fill>
    <fill>
      <patternFill patternType="solid">
        <fgColor theme="4"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theme="8" tint="-0.499984740745262"/>
      </top>
      <bottom style="medium">
        <color theme="8"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theme="8" tint="-0.499984740745262"/>
      </top>
      <bottom style="medium">
        <color theme="8" tint="-0.499984740745262"/>
      </bottom>
      <diagonal/>
    </border>
    <border>
      <left/>
      <right style="thin">
        <color indexed="64"/>
      </right>
      <top style="medium">
        <color theme="8" tint="-0.499984740745262"/>
      </top>
      <bottom style="medium">
        <color theme="8" tint="-0.499984740745262"/>
      </bottom>
      <diagonal/>
    </border>
    <border>
      <left style="thin">
        <color indexed="64"/>
      </left>
      <right style="thin">
        <color indexed="64"/>
      </right>
      <top style="medium">
        <color theme="8" tint="-0.499984740745262"/>
      </top>
      <bottom style="medium">
        <color theme="8" tint="-0.499984740745262"/>
      </bottom>
      <diagonal/>
    </border>
    <border>
      <left/>
      <right/>
      <top style="medium">
        <color rgb="FF002060"/>
      </top>
      <bottom style="medium">
        <color rgb="FF002060"/>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8" tint="0.39994506668294322"/>
      </top>
      <bottom style="thin">
        <color theme="8" tint="0.39994506668294322"/>
      </bottom>
      <diagonal/>
    </border>
    <border>
      <left style="thin">
        <color indexed="64"/>
      </left>
      <right/>
      <top style="thin">
        <color indexed="64"/>
      </top>
      <bottom style="medium">
        <color rgb="FF002060"/>
      </bottom>
      <diagonal/>
    </border>
    <border>
      <left/>
      <right/>
      <top style="thin">
        <color indexed="64"/>
      </top>
      <bottom style="medium">
        <color rgb="FF002060"/>
      </bottom>
      <diagonal/>
    </border>
    <border>
      <left/>
      <right style="thin">
        <color indexed="64"/>
      </right>
      <top style="thin">
        <color indexed="64"/>
      </top>
      <bottom style="medium">
        <color rgb="FF002060"/>
      </bottom>
      <diagonal/>
    </border>
  </borders>
  <cellStyleXfs count="3">
    <xf numFmtId="0" fontId="0" fillId="0" borderId="0"/>
    <xf numFmtId="165" fontId="10" fillId="0" borderId="0" applyFont="0" applyFill="0" applyBorder="0" applyAlignment="0" applyProtection="0"/>
    <xf numFmtId="164" fontId="10" fillId="0" borderId="0" applyFont="0" applyFill="0" applyBorder="0" applyAlignment="0" applyProtection="0"/>
  </cellStyleXfs>
  <cellXfs count="195">
    <xf numFmtId="0" fontId="0" fillId="0" borderId="0" xfId="0"/>
    <xf numFmtId="0" fontId="1" fillId="2" borderId="0" xfId="0" applyFont="1" applyFill="1"/>
    <xf numFmtId="0" fontId="3" fillId="2" borderId="0" xfId="0" applyFont="1" applyFill="1"/>
    <xf numFmtId="0" fontId="1" fillId="2" borderId="0" xfId="0" applyFont="1" applyFill="1" applyAlignment="1">
      <alignment horizontal="center" vertical="center"/>
    </xf>
    <xf numFmtId="0" fontId="1" fillId="2" borderId="0" xfId="0" applyFont="1" applyFill="1" applyAlignment="1">
      <alignment horizontal="right" vertical="center"/>
    </xf>
    <xf numFmtId="0" fontId="4" fillId="2" borderId="0" xfId="0" applyFont="1" applyFill="1" applyAlignment="1">
      <alignment horizontal="center" vertical="center"/>
    </xf>
    <xf numFmtId="0" fontId="4" fillId="2" borderId="0" xfId="0" applyFont="1" applyFill="1"/>
    <xf numFmtId="0" fontId="4" fillId="2" borderId="0" xfId="0" applyFont="1" applyFill="1" applyAlignment="1">
      <alignment horizontal="right" vertical="center"/>
    </xf>
    <xf numFmtId="0" fontId="1" fillId="2" borderId="1" xfId="0" applyFont="1" applyFill="1" applyBorder="1" applyAlignment="1">
      <alignment horizontal="center" vertical="center"/>
    </xf>
    <xf numFmtId="0" fontId="1" fillId="2" borderId="1" xfId="0" applyFont="1" applyFill="1" applyBorder="1" applyAlignment="1">
      <alignment vertical="top" wrapText="1"/>
    </xf>
    <xf numFmtId="0" fontId="1" fillId="2" borderId="1" xfId="0" applyFont="1" applyFill="1" applyBorder="1" applyAlignment="1">
      <alignment horizontal="right" vertical="center"/>
    </xf>
    <xf numFmtId="0" fontId="1" fillId="2" borderId="1" xfId="0" applyFont="1" applyFill="1" applyBorder="1"/>
    <xf numFmtId="0" fontId="1" fillId="2" borderId="1" xfId="0" applyFont="1" applyFill="1" applyBorder="1" applyAlignment="1">
      <alignment wrapText="1"/>
    </xf>
    <xf numFmtId="0" fontId="1" fillId="0" borderId="1" xfId="0" applyFont="1" applyBorder="1" applyAlignment="1">
      <alignment wrapText="1"/>
    </xf>
    <xf numFmtId="0" fontId="3" fillId="3" borderId="0" xfId="0" applyFont="1" applyFill="1" applyAlignment="1">
      <alignment vertical="center"/>
    </xf>
    <xf numFmtId="2" fontId="1" fillId="2" borderId="1" xfId="0" applyNumberFormat="1" applyFont="1" applyFill="1" applyBorder="1" applyAlignment="1">
      <alignment horizontal="center" vertical="center"/>
    </xf>
    <xf numFmtId="0" fontId="1" fillId="2" borderId="1"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xf>
    <xf numFmtId="0" fontId="1" fillId="0" borderId="1" xfId="0" applyFont="1" applyBorder="1"/>
    <xf numFmtId="0" fontId="1" fillId="2" borderId="1" xfId="0" applyFont="1" applyFill="1" applyBorder="1" applyAlignment="1">
      <alignment horizontal="left" vertical="top" wrapText="1"/>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vertical="center" wrapText="1"/>
    </xf>
    <xf numFmtId="0" fontId="3" fillId="2" borderId="0" xfId="0" applyFont="1" applyFill="1" applyAlignment="1">
      <alignment vertical="center"/>
    </xf>
    <xf numFmtId="0" fontId="3" fillId="2" borderId="1" xfId="0" applyFont="1" applyFill="1" applyBorder="1" applyAlignment="1">
      <alignment horizontal="center" vertical="center" wrapText="1"/>
    </xf>
    <xf numFmtId="0" fontId="5" fillId="2" borderId="0" xfId="0" applyFont="1" applyFill="1"/>
    <xf numFmtId="0" fontId="5" fillId="3" borderId="0" xfId="0" applyFont="1" applyFill="1" applyAlignment="1">
      <alignment vertical="center"/>
    </xf>
    <xf numFmtId="0" fontId="6" fillId="2" borderId="0" xfId="0" applyFont="1" applyFill="1"/>
    <xf numFmtId="0" fontId="1" fillId="2" borderId="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5" xfId="0" applyFont="1" applyFill="1" applyBorder="1" applyAlignment="1">
      <alignment wrapText="1"/>
    </xf>
    <xf numFmtId="0" fontId="1" fillId="2" borderId="5" xfId="0" applyFont="1" applyFill="1" applyBorder="1"/>
    <xf numFmtId="0" fontId="5" fillId="2" borderId="0" xfId="0" applyNumberFormat="1" applyFont="1" applyFill="1" applyBorder="1" applyAlignment="1">
      <alignment horizontal="center" vertical="center"/>
    </xf>
    <xf numFmtId="2" fontId="1" fillId="2" borderId="5"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xf>
    <xf numFmtId="4" fontId="1" fillId="2" borderId="5" xfId="0" applyNumberFormat="1" applyFont="1" applyFill="1" applyBorder="1" applyAlignment="1">
      <alignment horizontal="center" vertical="center"/>
    </xf>
    <xf numFmtId="4"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vertical="center" wrapText="1"/>
    </xf>
    <xf numFmtId="0" fontId="8" fillId="4" borderId="0" xfId="0" applyFont="1" applyFill="1" applyAlignment="1">
      <alignment horizontal="center" vertical="center"/>
    </xf>
    <xf numFmtId="0" fontId="8" fillId="4" borderId="0" xfId="0" applyFont="1" applyFill="1" applyAlignment="1">
      <alignment horizontal="left" vertical="center" wrapText="1"/>
    </xf>
    <xf numFmtId="0" fontId="8" fillId="4" borderId="0" xfId="0" applyFont="1" applyFill="1" applyAlignment="1">
      <alignment vertical="center"/>
    </xf>
    <xf numFmtId="0" fontId="7" fillId="2" borderId="16"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Fill="1"/>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vertical="center"/>
    </xf>
    <xf numFmtId="0" fontId="1" fillId="2" borderId="0" xfId="0" applyFont="1" applyFill="1" applyAlignment="1">
      <alignment horizontal="right"/>
    </xf>
    <xf numFmtId="0" fontId="8" fillId="4" borderId="0" xfId="0" applyFont="1" applyFill="1" applyAlignment="1">
      <alignment horizontal="right" vertical="center"/>
    </xf>
    <xf numFmtId="0" fontId="8" fillId="2" borderId="0" xfId="0" applyFont="1" applyFill="1" applyAlignment="1">
      <alignment horizontal="right" vertical="center"/>
    </xf>
    <xf numFmtId="4" fontId="1" fillId="2" borderId="1" xfId="0" applyNumberFormat="1" applyFont="1" applyFill="1" applyBorder="1" applyAlignment="1">
      <alignment horizontal="right" vertical="center"/>
    </xf>
    <xf numFmtId="4" fontId="1" fillId="2" borderId="5" xfId="0" applyNumberFormat="1" applyFont="1" applyFill="1" applyBorder="1" applyAlignment="1">
      <alignment horizontal="right" vertical="center"/>
    </xf>
    <xf numFmtId="4" fontId="7" fillId="2" borderId="14" xfId="0" applyNumberFormat="1" applyFont="1" applyFill="1" applyBorder="1" applyAlignment="1">
      <alignment horizontal="right" vertical="center"/>
    </xf>
    <xf numFmtId="4" fontId="7" fillId="2" borderId="0" xfId="0" applyNumberFormat="1" applyFont="1" applyFill="1" applyBorder="1" applyAlignment="1">
      <alignment horizontal="right" vertical="center"/>
    </xf>
    <xf numFmtId="4" fontId="7" fillId="2" borderId="8" xfId="0" applyNumberFormat="1" applyFont="1" applyFill="1" applyBorder="1" applyAlignment="1">
      <alignment horizontal="right" vertical="center"/>
    </xf>
    <xf numFmtId="4" fontId="7" fillId="2" borderId="13" xfId="0" applyNumberFormat="1" applyFont="1" applyFill="1" applyBorder="1" applyAlignment="1">
      <alignment horizontal="right" vertical="center"/>
    </xf>
    <xf numFmtId="4" fontId="7" fillId="2" borderId="17" xfId="0" applyNumberFormat="1" applyFont="1" applyFill="1" applyBorder="1" applyAlignment="1">
      <alignment horizontal="right" vertical="center"/>
    </xf>
    <xf numFmtId="4" fontId="1" fillId="2" borderId="1" xfId="0" applyNumberFormat="1" applyFont="1" applyFill="1" applyBorder="1" applyAlignment="1">
      <alignment horizontal="right" vertical="center" wrapText="1"/>
    </xf>
    <xf numFmtId="4" fontId="5" fillId="2" borderId="0" xfId="0" applyNumberFormat="1" applyFont="1" applyFill="1" applyBorder="1" applyAlignment="1">
      <alignment horizontal="right" vertical="center"/>
    </xf>
    <xf numFmtId="4" fontId="8" fillId="4" borderId="15" xfId="0" applyNumberFormat="1" applyFont="1" applyFill="1" applyBorder="1" applyAlignment="1">
      <alignment horizontal="right"/>
    </xf>
    <xf numFmtId="4" fontId="8" fillId="2" borderId="15" xfId="0" applyNumberFormat="1" applyFont="1" applyFill="1" applyBorder="1" applyAlignment="1">
      <alignment horizontal="right"/>
    </xf>
    <xf numFmtId="4" fontId="1" fillId="2" borderId="0" xfId="0" applyNumberFormat="1" applyFont="1" applyFill="1" applyAlignment="1">
      <alignment horizontal="right"/>
    </xf>
    <xf numFmtId="0" fontId="1" fillId="2" borderId="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 xfId="0" applyFont="1" applyFill="1" applyBorder="1" applyAlignment="1">
      <alignment vertical="center"/>
    </xf>
    <xf numFmtId="0" fontId="1" fillId="2" borderId="1" xfId="0" applyFont="1" applyFill="1" applyBorder="1" applyAlignment="1">
      <alignment horizontal="center" wrapText="1"/>
    </xf>
    <xf numFmtId="0" fontId="1" fillId="2" borderId="3" xfId="0" applyFont="1" applyFill="1" applyBorder="1" applyAlignment="1">
      <alignment horizontal="center" vertical="center"/>
    </xf>
    <xf numFmtId="0" fontId="1" fillId="2" borderId="0" xfId="0" applyFont="1" applyFill="1" applyAlignment="1">
      <alignment horizont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horizontal="center" vertical="center"/>
    </xf>
    <xf numFmtId="0" fontId="1" fillId="2" borderId="0" xfId="0" applyFont="1" applyFill="1" applyBorder="1"/>
    <xf numFmtId="165" fontId="1" fillId="2" borderId="0" xfId="0" applyNumberFormat="1" applyFont="1" applyFill="1" applyBorder="1" applyAlignment="1">
      <alignment horizontal="center" vertical="center"/>
    </xf>
    <xf numFmtId="4" fontId="7" fillId="2" borderId="13" xfId="0" applyNumberFormat="1" applyFont="1" applyFill="1" applyBorder="1" applyAlignment="1">
      <alignment vertical="center"/>
    </xf>
    <xf numFmtId="0" fontId="1" fillId="2" borderId="0" xfId="0" applyFont="1" applyFill="1" applyBorder="1" applyAlignment="1">
      <alignment horizontal="left" vertical="center" wrapText="1"/>
    </xf>
    <xf numFmtId="165" fontId="1" fillId="0" borderId="1" xfId="1" applyFont="1" applyBorder="1" applyAlignment="1">
      <alignment vertical="center"/>
    </xf>
    <xf numFmtId="165" fontId="1" fillId="0" borderId="5" xfId="1" applyFont="1" applyBorder="1" applyAlignment="1">
      <alignment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1" fillId="0" borderId="5" xfId="0" applyNumberFormat="1" applyFont="1" applyFill="1" applyBorder="1" applyAlignment="1">
      <alignment horizontal="center" vertical="center" wrapText="1"/>
    </xf>
    <xf numFmtId="0" fontId="11" fillId="0" borderId="5" xfId="0" applyNumberFormat="1" applyFont="1" applyFill="1" applyBorder="1" applyAlignment="1">
      <alignment horizontal="left" vertical="center" wrapText="1"/>
    </xf>
    <xf numFmtId="4" fontId="8" fillId="4" borderId="15" xfId="0" applyNumberFormat="1" applyFont="1" applyFill="1" applyBorder="1" applyAlignment="1"/>
    <xf numFmtId="4" fontId="1" fillId="2" borderId="0" xfId="0" applyNumberFormat="1" applyFont="1" applyFill="1"/>
    <xf numFmtId="4" fontId="3" fillId="2" borderId="0" xfId="0" applyNumberFormat="1" applyFont="1" applyFill="1"/>
    <xf numFmtId="0" fontId="0" fillId="2" borderId="0" xfId="0" applyFill="1"/>
    <xf numFmtId="0" fontId="0" fillId="2" borderId="0" xfId="0" applyFill="1" applyAlignment="1">
      <alignment horizontal="center" vertical="center"/>
    </xf>
    <xf numFmtId="166" fontId="1" fillId="2" borderId="1" xfId="0" applyNumberFormat="1" applyFont="1" applyFill="1" applyBorder="1" applyAlignment="1">
      <alignment horizontal="center" vertical="center"/>
    </xf>
    <xf numFmtId="167" fontId="1" fillId="2" borderId="1" xfId="0" applyNumberFormat="1" applyFont="1" applyFill="1" applyBorder="1" applyAlignment="1">
      <alignment horizontal="center" vertical="center"/>
    </xf>
    <xf numFmtId="0" fontId="0" fillId="2" borderId="0" xfId="0" applyFill="1" applyBorder="1" applyAlignment="1">
      <alignment horizontal="center" vertical="center"/>
    </xf>
    <xf numFmtId="0" fontId="0" fillId="2" borderId="0" xfId="0" applyFill="1" applyBorder="1"/>
    <xf numFmtId="164" fontId="1" fillId="2" borderId="1" xfId="2" applyFont="1" applyFill="1" applyBorder="1" applyAlignment="1">
      <alignment horizontal="center" vertical="center"/>
    </xf>
    <xf numFmtId="0" fontId="1" fillId="2" borderId="0" xfId="0" applyFont="1" applyFill="1" applyAlignment="1">
      <alignment vertical="top" wrapText="1"/>
    </xf>
    <xf numFmtId="164" fontId="1" fillId="2" borderId="5" xfId="2" applyFont="1" applyFill="1" applyBorder="1" applyAlignment="1">
      <alignment horizontal="center" vertical="center"/>
    </xf>
    <xf numFmtId="167" fontId="1" fillId="2" borderId="5" xfId="0" applyNumberFormat="1" applyFont="1" applyFill="1" applyBorder="1" applyAlignment="1">
      <alignment horizontal="center" vertical="center"/>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0" fontId="1" fillId="2" borderId="0" xfId="0" applyFont="1" applyFill="1" applyBorder="1" applyAlignment="1">
      <alignment vertical="top" wrapText="1"/>
    </xf>
    <xf numFmtId="164" fontId="1" fillId="2" borderId="0" xfId="2" applyFont="1" applyFill="1" applyBorder="1" applyAlignment="1">
      <alignment horizontal="center" vertical="center"/>
    </xf>
    <xf numFmtId="0" fontId="0" fillId="2" borderId="0" xfId="0" applyFont="1" applyFill="1"/>
    <xf numFmtId="0" fontId="0" fillId="2" borderId="0" xfId="0" applyFont="1" applyFill="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left" vertical="center" wrapText="1"/>
    </xf>
    <xf numFmtId="0" fontId="14" fillId="4" borderId="0" xfId="0" applyFont="1" applyFill="1" applyAlignment="1">
      <alignment horizontal="center" vertical="center"/>
    </xf>
    <xf numFmtId="0" fontId="14" fillId="4" borderId="0" xfId="0" applyFont="1" applyFill="1" applyAlignment="1">
      <alignment horizontal="left" vertical="center" wrapText="1"/>
    </xf>
    <xf numFmtId="0" fontId="3" fillId="6" borderId="0" xfId="0" applyFont="1" applyFill="1" applyAlignment="1">
      <alignment horizontal="center"/>
    </xf>
    <xf numFmtId="0" fontId="1" fillId="2" borderId="8" xfId="0" applyFont="1" applyFill="1" applyBorder="1" applyAlignment="1">
      <alignment horizontal="center"/>
    </xf>
    <xf numFmtId="0" fontId="3" fillId="2" borderId="8" xfId="0" applyFont="1" applyFill="1" applyBorder="1"/>
    <xf numFmtId="4" fontId="3" fillId="2" borderId="8" xfId="0" applyNumberFormat="1" applyFont="1" applyFill="1" applyBorder="1"/>
    <xf numFmtId="0" fontId="15" fillId="7" borderId="20" xfId="0" applyFont="1" applyFill="1" applyBorder="1" applyAlignment="1">
      <alignment horizontal="center"/>
    </xf>
    <xf numFmtId="0" fontId="14" fillId="7" borderId="20" xfId="0" applyFont="1" applyFill="1" applyBorder="1"/>
    <xf numFmtId="4" fontId="14" fillId="7" borderId="20" xfId="0" applyNumberFormat="1" applyFont="1" applyFill="1" applyBorder="1"/>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xf>
    <xf numFmtId="2" fontId="1" fillId="0" borderId="1" xfId="0" applyNumberFormat="1" applyFont="1" applyFill="1" applyBorder="1" applyAlignment="1">
      <alignment horizontal="center" vertical="center"/>
    </xf>
    <xf numFmtId="166"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quotePrefix="1" applyNumberFormat="1" applyFont="1" applyFill="1" applyBorder="1" applyAlignment="1">
      <alignment horizontal="center" vertical="center"/>
    </xf>
    <xf numFmtId="166" fontId="1" fillId="0" borderId="1" xfId="0" quotePrefix="1" applyNumberFormat="1" applyFont="1" applyFill="1" applyBorder="1" applyAlignment="1">
      <alignment horizontal="center" vertical="center"/>
    </xf>
    <xf numFmtId="0" fontId="11" fillId="0"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4" fillId="9" borderId="1" xfId="0" applyFont="1" applyFill="1" applyBorder="1" applyAlignment="1">
      <alignment horizontal="center" vertical="center"/>
    </xf>
    <xf numFmtId="2" fontId="4" fillId="9" borderId="1" xfId="0" applyNumberFormat="1" applyFont="1" applyFill="1" applyBorder="1" applyAlignment="1">
      <alignment horizontal="center" vertical="center"/>
    </xf>
    <xf numFmtId="0" fontId="1" fillId="9" borderId="1" xfId="0" applyFont="1" applyFill="1" applyBorder="1" applyAlignment="1">
      <alignment horizontal="left" vertical="top" wrapText="1"/>
    </xf>
    <xf numFmtId="0" fontId="1" fillId="9" borderId="1" xfId="0" applyFont="1" applyFill="1" applyBorder="1" applyAlignment="1">
      <alignment horizontal="center" vertical="center"/>
    </xf>
    <xf numFmtId="2" fontId="1" fillId="9" borderId="1" xfId="0" applyNumberFormat="1" applyFont="1" applyFill="1" applyBorder="1" applyAlignment="1">
      <alignment horizontal="center" vertical="center"/>
    </xf>
    <xf numFmtId="166" fontId="1" fillId="9" borderId="1" xfId="0" applyNumberFormat="1" applyFont="1" applyFill="1" applyBorder="1" applyAlignment="1">
      <alignment horizontal="center" vertical="center"/>
    </xf>
    <xf numFmtId="168" fontId="1" fillId="9" borderId="1" xfId="0" applyNumberFormat="1" applyFont="1" applyFill="1" applyBorder="1" applyAlignment="1">
      <alignment horizontal="center" vertical="center"/>
    </xf>
    <xf numFmtId="1" fontId="1" fillId="0" borderId="1" xfId="0" applyNumberFormat="1" applyFont="1" applyFill="1" applyBorder="1" applyAlignment="1">
      <alignment horizontal="center" vertical="center"/>
    </xf>
    <xf numFmtId="0" fontId="8" fillId="4" borderId="0" xfId="0" applyFont="1" applyFill="1" applyAlignment="1">
      <alignment vertical="center" wrapText="1"/>
    </xf>
    <xf numFmtId="0" fontId="1" fillId="2" borderId="0" xfId="0" applyFont="1" applyFill="1" applyAlignment="1"/>
    <xf numFmtId="0" fontId="8" fillId="4" borderId="0" xfId="0" applyFont="1" applyFill="1" applyAlignment="1">
      <alignment horizontal="left" vertical="center"/>
    </xf>
    <xf numFmtId="0" fontId="0" fillId="2" borderId="0" xfId="0" applyFill="1" applyAlignment="1"/>
    <xf numFmtId="0" fontId="1" fillId="0" borderId="1" xfId="0" applyFont="1" applyFill="1" applyBorder="1" applyAlignment="1">
      <alignment horizontal="left" vertical="center" wrapText="1"/>
    </xf>
    <xf numFmtId="0" fontId="1" fillId="2" borderId="0" xfId="0" applyFont="1" applyFill="1" applyAlignment="1">
      <alignment horizontal="left"/>
    </xf>
    <xf numFmtId="0" fontId="1" fillId="0" borderId="1" xfId="0" applyFont="1" applyFill="1" applyBorder="1" applyAlignment="1">
      <alignment horizontal="left" vertical="center"/>
    </xf>
    <xf numFmtId="0" fontId="4" fillId="2" borderId="1" xfId="0" applyFont="1" applyFill="1" applyBorder="1" applyAlignment="1">
      <alignment horizontal="left" vertical="center" wrapText="1"/>
    </xf>
    <xf numFmtId="0" fontId="1" fillId="2" borderId="1" xfId="0" applyFont="1" applyFill="1" applyBorder="1" applyAlignment="1">
      <alignment horizontal="left"/>
    </xf>
    <xf numFmtId="0" fontId="0" fillId="2" borderId="0" xfId="0" applyFill="1" applyAlignment="1">
      <alignment horizontal="left"/>
    </xf>
    <xf numFmtId="0" fontId="1" fillId="0" borderId="1" xfId="0" applyFont="1" applyFill="1" applyBorder="1" applyAlignment="1">
      <alignment vertical="center" wrapText="1"/>
    </xf>
    <xf numFmtId="4" fontId="1" fillId="0" borderId="1" xfId="0" applyNumberFormat="1" applyFont="1" applyFill="1" applyBorder="1" applyAlignment="1">
      <alignment horizontal="center" vertical="center"/>
    </xf>
    <xf numFmtId="4" fontId="4" fillId="9" borderId="1" xfId="0" applyNumberFormat="1" applyFont="1" applyFill="1" applyBorder="1" applyAlignment="1">
      <alignment horizontal="center" vertical="center"/>
    </xf>
    <xf numFmtId="4" fontId="1" fillId="9" borderId="1" xfId="0" applyNumberFormat="1" applyFont="1" applyFill="1" applyBorder="1" applyAlignment="1">
      <alignment horizontal="center" vertical="center"/>
    </xf>
    <xf numFmtId="0" fontId="14" fillId="2" borderId="0" xfId="0" applyFont="1" applyFill="1" applyAlignment="1">
      <alignment horizontal="center" vertical="center"/>
    </xf>
    <xf numFmtId="0" fontId="14" fillId="2" borderId="0" xfId="0" applyFont="1" applyFill="1" applyAlignment="1">
      <alignment horizontal="left" vertical="center" wrapText="1"/>
    </xf>
    <xf numFmtId="0" fontId="1" fillId="2" borderId="0" xfId="0" applyFont="1" applyFill="1" applyAlignment="1">
      <alignment horizontal="left" vertical="center" wrapText="1"/>
    </xf>
    <xf numFmtId="4" fontId="1" fillId="2" borderId="0" xfId="0" applyNumberFormat="1" applyFont="1" applyFill="1" applyAlignment="1">
      <alignment horizontal="right" vertical="center" wrapText="1"/>
    </xf>
    <xf numFmtId="0" fontId="3" fillId="2" borderId="8" xfId="0" applyFont="1" applyFill="1" applyBorder="1" applyAlignment="1">
      <alignment horizontal="left" vertical="center"/>
    </xf>
    <xf numFmtId="0" fontId="1" fillId="2" borderId="5" xfId="0" applyFont="1" applyFill="1" applyBorder="1" applyAlignment="1">
      <alignment horizontal="center" vertical="center"/>
    </xf>
    <xf numFmtId="4" fontId="7" fillId="2" borderId="0" xfId="0" applyNumberFormat="1" applyFont="1" applyFill="1" applyBorder="1" applyAlignment="1">
      <alignment vertical="center"/>
    </xf>
    <xf numFmtId="0" fontId="1" fillId="2" borderId="0" xfId="0" applyFont="1" applyFill="1" applyBorder="1" applyAlignment="1">
      <alignment horizontal="right" vertical="center"/>
    </xf>
    <xf numFmtId="4" fontId="1" fillId="2" borderId="0" xfId="0" applyNumberFormat="1" applyFont="1" applyFill="1" applyBorder="1" applyAlignment="1">
      <alignment horizontal="right" vertical="center"/>
    </xf>
    <xf numFmtId="4" fontId="1" fillId="2" borderId="0" xfId="0" applyNumberFormat="1" applyFont="1" applyFill="1" applyBorder="1" applyAlignment="1">
      <alignment horizontal="center" vertical="center"/>
    </xf>
    <xf numFmtId="0" fontId="16" fillId="2" borderId="0" xfId="0" applyFont="1" applyFill="1" applyAlignment="1">
      <alignment horizontal="left" vertical="center"/>
    </xf>
    <xf numFmtId="0" fontId="12" fillId="6" borderId="0" xfId="0" applyFont="1" applyFill="1" applyAlignment="1">
      <alignment horizontal="left"/>
    </xf>
    <xf numFmtId="0" fontId="8" fillId="4" borderId="15" xfId="0" applyFont="1" applyFill="1" applyBorder="1" applyAlignment="1">
      <alignment horizont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8" fillId="0" borderId="0" xfId="0" applyFont="1" applyFill="1" applyAlignment="1">
      <alignment horizontal="center" vertical="center"/>
    </xf>
    <xf numFmtId="0" fontId="18" fillId="8" borderId="10" xfId="0" applyFont="1" applyFill="1" applyBorder="1" applyAlignment="1">
      <alignment horizontal="left" vertical="center"/>
    </xf>
    <xf numFmtId="0" fontId="2" fillId="2" borderId="0" xfId="0" applyFont="1" applyFill="1" applyAlignment="1">
      <alignment horizontal="left" vertical="center"/>
    </xf>
    <xf numFmtId="0" fontId="7" fillId="2" borderId="1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9"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9"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7" fillId="2" borderId="13" xfId="0" applyNumberFormat="1" applyFont="1" applyFill="1" applyBorder="1" applyAlignment="1">
      <alignment horizontal="center" vertical="center"/>
    </xf>
    <xf numFmtId="0" fontId="8" fillId="2" borderId="15" xfId="0" applyFont="1" applyFill="1" applyBorder="1" applyAlignment="1">
      <alignment horizontal="center"/>
    </xf>
    <xf numFmtId="4" fontId="8" fillId="4" borderId="15" xfId="0" applyNumberFormat="1" applyFont="1" applyFill="1" applyBorder="1" applyAlignment="1">
      <alignment horizontal="center"/>
    </xf>
    <xf numFmtId="0" fontId="0" fillId="2" borderId="0" xfId="0" applyFill="1" applyBorder="1" applyAlignment="1">
      <alignment horizontal="center" vertical="center"/>
    </xf>
    <xf numFmtId="0" fontId="19" fillId="2" borderId="1" xfId="0" applyFont="1" applyFill="1" applyBorder="1" applyAlignment="1">
      <alignment horizontal="left" vertical="center" wrapText="1"/>
    </xf>
    <xf numFmtId="0" fontId="19" fillId="2" borderId="0" xfId="0" applyFont="1" applyFill="1"/>
    <xf numFmtId="0" fontId="19" fillId="2" borderId="1" xfId="0" applyFont="1" applyFill="1" applyBorder="1" applyAlignment="1">
      <alignment horizontal="center" vertical="center"/>
    </xf>
    <xf numFmtId="0" fontId="20" fillId="2" borderId="4" xfId="0" applyFont="1" applyFill="1" applyBorder="1" applyAlignment="1">
      <alignment horizontal="left" vertical="center"/>
    </xf>
    <xf numFmtId="2" fontId="19" fillId="2" borderId="1" xfId="0" applyNumberFormat="1" applyFont="1" applyFill="1" applyBorder="1" applyAlignment="1">
      <alignment horizontal="center" vertical="center"/>
    </xf>
    <xf numFmtId="165" fontId="19" fillId="2" borderId="1" xfId="1"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4"/>
  <sheetViews>
    <sheetView zoomScaleNormal="100" workbookViewId="0"/>
  </sheetViews>
  <sheetFormatPr defaultColWidth="8.85546875" defaultRowHeight="14.25"/>
  <cols>
    <col min="1" max="1" width="2" style="1" customWidth="1"/>
    <col min="2" max="2" width="8.85546875" style="77"/>
    <col min="3" max="3" width="49.5703125" style="1" bestFit="1" customWidth="1"/>
    <col min="4" max="4" width="22" style="1" bestFit="1" customWidth="1"/>
    <col min="5" max="16384" width="8.85546875" style="1"/>
  </cols>
  <sheetData>
    <row r="2" spans="2:4" ht="15.75">
      <c r="B2" s="163" t="s">
        <v>148</v>
      </c>
      <c r="C2" s="163"/>
    </row>
    <row r="4" spans="2:4" ht="30">
      <c r="B4" s="113" t="s">
        <v>8</v>
      </c>
      <c r="C4" s="114" t="s">
        <v>134</v>
      </c>
      <c r="D4" s="114" t="s">
        <v>135</v>
      </c>
    </row>
    <row r="5" spans="2:4" ht="15">
      <c r="B5" s="153"/>
      <c r="C5" s="154"/>
      <c r="D5" s="154"/>
    </row>
    <row r="6" spans="2:4" ht="15">
      <c r="B6" s="115">
        <v>1</v>
      </c>
      <c r="C6" s="164" t="s">
        <v>206</v>
      </c>
      <c r="D6" s="164"/>
    </row>
    <row r="7" spans="2:4" ht="29.25" thickBot="1">
      <c r="B7" s="3">
        <v>1.1000000000000001</v>
      </c>
      <c r="C7" s="155" t="s">
        <v>220</v>
      </c>
      <c r="D7" s="156">
        <f>'Dismantling Works'!J27</f>
        <v>180898.31622117182</v>
      </c>
    </row>
    <row r="8" spans="2:4" ht="15.75" thickBot="1">
      <c r="B8" s="116"/>
      <c r="C8" s="117" t="s">
        <v>143</v>
      </c>
      <c r="D8" s="118">
        <f>SUM(D1:D7)</f>
        <v>180898.31622117182</v>
      </c>
    </row>
    <row r="10" spans="2:4" ht="17.25">
      <c r="B10" s="115">
        <v>2</v>
      </c>
      <c r="C10" s="164" t="s">
        <v>172</v>
      </c>
      <c r="D10" s="164"/>
    </row>
    <row r="11" spans="2:4">
      <c r="B11" s="77">
        <v>1.1000000000000001</v>
      </c>
      <c r="C11" s="1" t="s">
        <v>136</v>
      </c>
      <c r="D11" s="92">
        <f>'BOQ Female toilet and Store'!J13</f>
        <v>28771.392355605887</v>
      </c>
    </row>
    <row r="12" spans="2:4">
      <c r="B12" s="77">
        <v>1.2</v>
      </c>
      <c r="C12" s="1" t="s">
        <v>137</v>
      </c>
      <c r="D12" s="92">
        <f>'BOQ Female toilet and Store'!J32</f>
        <v>439143.67845674796</v>
      </c>
    </row>
    <row r="13" spans="2:4">
      <c r="B13" s="77">
        <v>1.3</v>
      </c>
      <c r="C13" s="1" t="s">
        <v>138</v>
      </c>
      <c r="D13" s="92">
        <f>'BOQ Female toilet and Store'!J37</f>
        <v>54753.219338278795</v>
      </c>
    </row>
    <row r="14" spans="2:4">
      <c r="B14" s="77">
        <v>1.4</v>
      </c>
      <c r="C14" s="1" t="s">
        <v>139</v>
      </c>
      <c r="D14" s="92">
        <f>'BOQ Female toilet and Store'!J50</f>
        <v>242505.40575926451</v>
      </c>
    </row>
    <row r="15" spans="2:4">
      <c r="B15" s="77">
        <v>1.5</v>
      </c>
      <c r="C15" s="1" t="s">
        <v>140</v>
      </c>
      <c r="D15" s="92">
        <f>'BOQ Female toilet and Store'!J61</f>
        <v>475480.93832132727</v>
      </c>
    </row>
    <row r="16" spans="2:4">
      <c r="B16" s="77">
        <v>1.6</v>
      </c>
      <c r="C16" s="1" t="s">
        <v>141</v>
      </c>
      <c r="D16" s="92">
        <f>'BOQ Female toilet and Store'!J73</f>
        <v>65227.999999999993</v>
      </c>
    </row>
    <row r="17" spans="2:4" ht="15" thickBot="1">
      <c r="B17" s="77">
        <v>1.7</v>
      </c>
      <c r="C17" s="1" t="s">
        <v>142</v>
      </c>
      <c r="D17" s="92">
        <f>'BOQ Female toilet and Store'!J82</f>
        <v>370544.84424534801</v>
      </c>
    </row>
    <row r="18" spans="2:4" ht="15.75" thickBot="1">
      <c r="B18" s="116"/>
      <c r="C18" s="157" t="s">
        <v>143</v>
      </c>
      <c r="D18" s="118">
        <f>SUM(D11:D17)</f>
        <v>1676427.4784765723</v>
      </c>
    </row>
    <row r="19" spans="2:4" ht="15">
      <c r="C19" s="2"/>
      <c r="D19" s="93"/>
    </row>
    <row r="20" spans="2:4" ht="17.25">
      <c r="B20" s="115">
        <v>3</v>
      </c>
      <c r="C20" s="164" t="s">
        <v>173</v>
      </c>
      <c r="D20" s="164"/>
    </row>
    <row r="21" spans="2:4">
      <c r="B21" s="77">
        <v>2.1</v>
      </c>
      <c r="C21" s="1" t="s">
        <v>136</v>
      </c>
      <c r="D21" s="92">
        <f>'BOQ for Male Toilet'!J12</f>
        <v>14276.050000000001</v>
      </c>
    </row>
    <row r="22" spans="2:4">
      <c r="B22" s="77">
        <v>2.2000000000000002</v>
      </c>
      <c r="C22" s="1" t="s">
        <v>137</v>
      </c>
      <c r="D22" s="92">
        <f>'BOQ for Male Toilet'!J17</f>
        <v>12959.847702100642</v>
      </c>
    </row>
    <row r="23" spans="2:4">
      <c r="B23" s="77">
        <v>2.2999999999999998</v>
      </c>
      <c r="C23" s="1" t="s">
        <v>138</v>
      </c>
      <c r="D23" s="92">
        <f>'BOQ for Male Toilet'!J21</f>
        <v>22402.752378213234</v>
      </c>
    </row>
    <row r="24" spans="2:4">
      <c r="B24" s="77">
        <v>2.4</v>
      </c>
      <c r="C24" s="1" t="s">
        <v>139</v>
      </c>
      <c r="D24" s="92">
        <f>'BOQ for Male Toilet'!J33</f>
        <v>117764.89730550566</v>
      </c>
    </row>
    <row r="25" spans="2:4">
      <c r="B25" s="77">
        <v>2.5</v>
      </c>
      <c r="C25" s="1" t="s">
        <v>144</v>
      </c>
      <c r="D25" s="92">
        <f>'BOQ for Male Toilet'!J39</f>
        <v>16155.729841488628</v>
      </c>
    </row>
    <row r="26" spans="2:4">
      <c r="B26" s="77">
        <v>2.6</v>
      </c>
      <c r="C26" s="1" t="s">
        <v>141</v>
      </c>
      <c r="D26" s="92">
        <f>'BOQ for Male Toilet'!J53</f>
        <v>67403.200000000012</v>
      </c>
    </row>
    <row r="27" spans="2:4" ht="15" thickBot="1">
      <c r="B27" s="77">
        <v>2.7</v>
      </c>
      <c r="C27" s="1" t="s">
        <v>142</v>
      </c>
      <c r="D27" s="92">
        <f>'BOQ for Male Toilet'!J63</f>
        <v>254041.98173673329</v>
      </c>
    </row>
    <row r="28" spans="2:4" ht="15.75" thickBot="1">
      <c r="B28" s="116"/>
      <c r="C28" s="117" t="s">
        <v>143</v>
      </c>
      <c r="D28" s="118">
        <f>SUM(D21:D27)</f>
        <v>505004.45896404143</v>
      </c>
    </row>
    <row r="29" spans="2:4" ht="15">
      <c r="C29" s="2"/>
      <c r="D29" s="93"/>
    </row>
    <row r="30" spans="2:4" ht="17.25">
      <c r="B30" s="115">
        <v>3</v>
      </c>
      <c r="C30" s="164" t="s">
        <v>174</v>
      </c>
      <c r="D30" s="164"/>
    </row>
    <row r="31" spans="2:4">
      <c r="B31" s="77">
        <v>3.1</v>
      </c>
      <c r="C31" s="1" t="s">
        <v>145</v>
      </c>
      <c r="D31" s="92">
        <f>'BOQ For Office works'!J8</f>
        <v>481778.25</v>
      </c>
    </row>
    <row r="32" spans="2:4">
      <c r="B32" s="77">
        <v>3.2</v>
      </c>
      <c r="C32" s="1" t="s">
        <v>138</v>
      </c>
      <c r="D32" s="92">
        <f>'BOQ For Office works'!J12</f>
        <v>292120.27567195037</v>
      </c>
    </row>
    <row r="33" spans="2:4">
      <c r="B33" s="77">
        <v>3.3</v>
      </c>
      <c r="C33" s="1" t="s">
        <v>146</v>
      </c>
      <c r="D33" s="92">
        <f>'BOQ For Office works'!J18</f>
        <v>1325100</v>
      </c>
    </row>
    <row r="34" spans="2:4" ht="15" thickBot="1">
      <c r="B34" s="77">
        <v>3.4</v>
      </c>
      <c r="C34" s="1" t="s">
        <v>147</v>
      </c>
      <c r="D34" s="92">
        <f>'BOQ For Office works'!J31</f>
        <v>1221921</v>
      </c>
    </row>
    <row r="35" spans="2:4" ht="15.75" thickBot="1">
      <c r="B35" s="116"/>
      <c r="C35" s="117" t="s">
        <v>143</v>
      </c>
      <c r="D35" s="118">
        <f>D31+D32+D33+D34</f>
        <v>3320919.5256719505</v>
      </c>
    </row>
    <row r="37" spans="2:4" ht="15">
      <c r="B37" s="115">
        <v>4</v>
      </c>
      <c r="C37" s="164" t="s">
        <v>175</v>
      </c>
      <c r="D37" s="164"/>
    </row>
    <row r="38" spans="2:4">
      <c r="B38" s="77">
        <v>4.0999999999999996</v>
      </c>
      <c r="C38" s="1" t="s">
        <v>167</v>
      </c>
      <c r="D38" s="92">
        <f>'BOQ For Rigid Pavement'!J9</f>
        <v>163082.25</v>
      </c>
    </row>
    <row r="39" spans="2:4">
      <c r="B39" s="77">
        <v>4.2</v>
      </c>
      <c r="C39" s="1" t="s">
        <v>168</v>
      </c>
      <c r="D39" s="92">
        <f>'BOQ For Rigid Pavement'!J15</f>
        <v>602496.916875</v>
      </c>
    </row>
    <row r="40" spans="2:4">
      <c r="B40" s="77">
        <v>4.3</v>
      </c>
      <c r="C40" s="1" t="s">
        <v>169</v>
      </c>
      <c r="D40" s="92">
        <f>'BOQ For Rigid Pavement'!J21</f>
        <v>2322134.3924999996</v>
      </c>
    </row>
    <row r="41" spans="2:4" ht="15" thickBot="1">
      <c r="B41" s="77">
        <v>4.4000000000000004</v>
      </c>
      <c r="C41" s="1" t="s">
        <v>171</v>
      </c>
      <c r="D41" s="92">
        <f>'BOQ For Rigid Pavement'!J26</f>
        <v>185070.78</v>
      </c>
    </row>
    <row r="42" spans="2:4" ht="15.75" thickBot="1">
      <c r="B42" s="116"/>
      <c r="C42" s="117" t="s">
        <v>143</v>
      </c>
      <c r="D42" s="118">
        <f>SUM(D38:D41)</f>
        <v>3272784.3393749995</v>
      </c>
    </row>
    <row r="44" spans="2:4" ht="15">
      <c r="B44" s="119"/>
      <c r="C44" s="120" t="s">
        <v>101</v>
      </c>
      <c r="D44" s="121">
        <f>D42+D35+D28+D18+D8</f>
        <v>8956034.1187087353</v>
      </c>
    </row>
  </sheetData>
  <mergeCells count="6">
    <mergeCell ref="B2:C2"/>
    <mergeCell ref="C37:D37"/>
    <mergeCell ref="C30:D30"/>
    <mergeCell ref="C20:D20"/>
    <mergeCell ref="C10:D10"/>
    <mergeCell ref="C6:D6"/>
  </mergeCells>
  <pageMargins left="0.7" right="0.7" top="0.75" bottom="0.75" header="0.3" footer="0.3"/>
  <pageSetup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7"/>
  <sheetViews>
    <sheetView zoomScale="70" zoomScaleNormal="70" workbookViewId="0">
      <pane ySplit="4" topLeftCell="A5" activePane="bottomLeft" state="frozen"/>
      <selection pane="bottomLeft"/>
    </sheetView>
  </sheetViews>
  <sheetFormatPr defaultColWidth="8.85546875" defaultRowHeight="15"/>
  <cols>
    <col min="1" max="1" width="2" style="94" customWidth="1"/>
    <col min="2" max="2" width="11" style="142" bestFit="1" customWidth="1"/>
    <col min="3" max="3" width="59.7109375" style="142" customWidth="1"/>
    <col min="4" max="4" width="12.140625" style="142" bestFit="1" customWidth="1"/>
    <col min="5" max="5" width="10.7109375" style="142" bestFit="1" customWidth="1"/>
    <col min="6" max="6" width="9.140625" style="142" bestFit="1" customWidth="1"/>
    <col min="7" max="7" width="10.140625" style="142" bestFit="1" customWidth="1"/>
    <col min="8" max="8" width="11.7109375" style="142" bestFit="1" customWidth="1"/>
    <col min="9" max="9" width="9.5703125" style="142" bestFit="1" customWidth="1"/>
    <col min="10" max="10" width="14.85546875" style="142" bestFit="1" customWidth="1"/>
    <col min="11" max="11" width="40.7109375" style="148" hidden="1" customWidth="1"/>
    <col min="12" max="16384" width="8.85546875" style="94"/>
  </cols>
  <sheetData>
    <row r="2" spans="2:11" ht="20.25">
      <c r="B2" s="171" t="s">
        <v>176</v>
      </c>
      <c r="C2" s="171"/>
      <c r="D2" s="3"/>
      <c r="E2" s="140"/>
      <c r="F2" s="140"/>
      <c r="G2" s="140"/>
      <c r="H2" s="140"/>
      <c r="I2" s="4"/>
      <c r="J2" s="140"/>
      <c r="K2" s="144"/>
    </row>
    <row r="3" spans="2:11">
      <c r="B3" s="3"/>
      <c r="C3" s="140"/>
      <c r="D3" s="3"/>
      <c r="E3" s="140"/>
      <c r="F3" s="140"/>
      <c r="G3" s="140"/>
      <c r="H3" s="140"/>
      <c r="I3" s="4"/>
      <c r="J3" s="140"/>
      <c r="K3" s="144"/>
    </row>
    <row r="4" spans="2:11" ht="54">
      <c r="B4" s="45" t="s">
        <v>35</v>
      </c>
      <c r="C4" s="141" t="s">
        <v>0</v>
      </c>
      <c r="D4" s="139" t="s">
        <v>69</v>
      </c>
      <c r="E4" s="47" t="s">
        <v>42</v>
      </c>
      <c r="F4" s="47" t="s">
        <v>43</v>
      </c>
      <c r="G4" s="47" t="s">
        <v>44</v>
      </c>
      <c r="H4" s="47" t="s">
        <v>4</v>
      </c>
      <c r="I4" s="45" t="s">
        <v>5</v>
      </c>
      <c r="J4" s="45" t="s">
        <v>6</v>
      </c>
      <c r="K4" s="141" t="s">
        <v>7</v>
      </c>
    </row>
    <row r="5" spans="2:11" ht="18">
      <c r="B5" s="169"/>
      <c r="C5" s="169"/>
      <c r="D5" s="169"/>
      <c r="E5" s="169"/>
      <c r="F5" s="169"/>
      <c r="G5" s="169"/>
      <c r="H5" s="169"/>
      <c r="I5" s="169"/>
      <c r="J5" s="169"/>
      <c r="K5" s="169"/>
    </row>
    <row r="6" spans="2:11" ht="18">
      <c r="B6" s="170" t="s">
        <v>205</v>
      </c>
      <c r="C6" s="170"/>
      <c r="D6" s="170"/>
      <c r="E6" s="170"/>
      <c r="F6" s="170"/>
      <c r="G6" s="170"/>
      <c r="H6" s="170"/>
      <c r="I6" s="170"/>
      <c r="J6" s="170"/>
      <c r="K6" s="170"/>
    </row>
    <row r="7" spans="2:11" ht="42.75">
      <c r="B7" s="8">
        <v>1</v>
      </c>
      <c r="C7" s="122" t="s">
        <v>177</v>
      </c>
      <c r="D7" s="123" t="s">
        <v>178</v>
      </c>
      <c r="E7" s="123" t="s">
        <v>11</v>
      </c>
      <c r="F7" s="123" t="s">
        <v>11</v>
      </c>
      <c r="G7" s="123" t="s">
        <v>11</v>
      </c>
      <c r="H7" s="124">
        <v>6</v>
      </c>
      <c r="I7" s="150">
        <v>744.6</v>
      </c>
      <c r="J7" s="150">
        <f>I7*H7</f>
        <v>4467.6000000000004</v>
      </c>
      <c r="K7" s="143" t="s">
        <v>179</v>
      </c>
    </row>
    <row r="8" spans="2:11" ht="57">
      <c r="B8" s="8">
        <v>2</v>
      </c>
      <c r="C8" s="122" t="s">
        <v>180</v>
      </c>
      <c r="D8" s="123" t="s">
        <v>9</v>
      </c>
      <c r="E8" s="123">
        <f>9.065+9.185</f>
        <v>18.25</v>
      </c>
      <c r="F8" s="123">
        <v>0.22500000000000001</v>
      </c>
      <c r="G8" s="123">
        <v>3.0488</v>
      </c>
      <c r="H8" s="124">
        <f>IF(G4&gt;0,G8*F8*E8,E8*F8)</f>
        <v>12.519135</v>
      </c>
      <c r="I8" s="150">
        <v>1698.45</v>
      </c>
      <c r="J8" s="150">
        <f>I8*H8</f>
        <v>21263.124840750002</v>
      </c>
      <c r="K8" s="143" t="s">
        <v>181</v>
      </c>
    </row>
    <row r="9" spans="2:11" ht="57">
      <c r="B9" s="8">
        <v>2.1</v>
      </c>
      <c r="C9" s="122" t="s">
        <v>180</v>
      </c>
      <c r="D9" s="123" t="s">
        <v>9</v>
      </c>
      <c r="E9" s="123">
        <f>10.256+2*9.3</f>
        <v>28.856000000000002</v>
      </c>
      <c r="F9" s="123">
        <v>0.22500000000000001</v>
      </c>
      <c r="G9" s="123">
        <v>3.0488</v>
      </c>
      <c r="H9" s="124">
        <f>IF(G7&gt;0,G9*F9*E9,E9*F9)</f>
        <v>19.794638880000001</v>
      </c>
      <c r="I9" s="150">
        <v>1698.45</v>
      </c>
      <c r="J9" s="150">
        <f>I9*H9</f>
        <v>33620.204405736004</v>
      </c>
      <c r="K9" s="143" t="s">
        <v>182</v>
      </c>
    </row>
    <row r="10" spans="2:11" ht="57">
      <c r="B10" s="8">
        <v>3</v>
      </c>
      <c r="C10" s="122" t="s">
        <v>183</v>
      </c>
      <c r="D10" s="123" t="s">
        <v>178</v>
      </c>
      <c r="E10" s="125" t="s">
        <v>11</v>
      </c>
      <c r="F10" s="125" t="s">
        <v>11</v>
      </c>
      <c r="G10" s="125" t="s">
        <v>11</v>
      </c>
      <c r="H10" s="124">
        <v>3</v>
      </c>
      <c r="I10" s="150">
        <v>302.7</v>
      </c>
      <c r="J10" s="150">
        <f>I10*H10</f>
        <v>908.09999999999991</v>
      </c>
      <c r="K10" s="143" t="s">
        <v>179</v>
      </c>
    </row>
    <row r="11" spans="2:11" ht="28.5">
      <c r="B11" s="8">
        <v>4</v>
      </c>
      <c r="C11" s="122" t="s">
        <v>201</v>
      </c>
      <c r="D11" s="123" t="s">
        <v>11</v>
      </c>
      <c r="E11" s="123" t="s">
        <v>11</v>
      </c>
      <c r="F11" s="123" t="s">
        <v>11</v>
      </c>
      <c r="G11" s="123" t="s">
        <v>11</v>
      </c>
      <c r="H11" s="123" t="s">
        <v>11</v>
      </c>
      <c r="I11" s="150" t="s">
        <v>11</v>
      </c>
      <c r="J11" s="150" t="s">
        <v>11</v>
      </c>
      <c r="K11" s="145" t="s">
        <v>11</v>
      </c>
    </row>
    <row r="12" spans="2:11" ht="42.75">
      <c r="B12" s="8">
        <v>5</v>
      </c>
      <c r="C12" s="149" t="s">
        <v>199</v>
      </c>
      <c r="D12" s="123" t="s">
        <v>10</v>
      </c>
      <c r="E12" s="123">
        <v>10.256</v>
      </c>
      <c r="F12" s="127">
        <v>9.3000000000000007</v>
      </c>
      <c r="G12" s="125" t="s">
        <v>11</v>
      </c>
      <c r="H12" s="124">
        <f>E12*F12</f>
        <v>95.380800000000008</v>
      </c>
      <c r="I12" s="150"/>
      <c r="J12" s="150">
        <f>I12*H12</f>
        <v>0</v>
      </c>
      <c r="K12" s="143" t="s">
        <v>184</v>
      </c>
    </row>
    <row r="13" spans="2:11" ht="57">
      <c r="B13" s="8">
        <v>6</v>
      </c>
      <c r="C13" s="129" t="s">
        <v>203</v>
      </c>
      <c r="D13" s="123" t="s">
        <v>10</v>
      </c>
      <c r="E13" s="123">
        <v>10.256</v>
      </c>
      <c r="F13" s="126">
        <v>9.3000000000000007</v>
      </c>
      <c r="G13" s="128">
        <v>0</v>
      </c>
      <c r="H13" s="124">
        <f>E13*F13</f>
        <v>95.380800000000008</v>
      </c>
      <c r="I13" s="150">
        <v>46.5</v>
      </c>
      <c r="J13" s="150">
        <f>I13*H13</f>
        <v>4435.2072000000007</v>
      </c>
      <c r="K13" s="143"/>
    </row>
    <row r="14" spans="2:11" ht="71.25">
      <c r="B14" s="8">
        <v>7</v>
      </c>
      <c r="C14" s="122" t="s">
        <v>185</v>
      </c>
      <c r="D14" s="123" t="s">
        <v>9</v>
      </c>
      <c r="E14" s="123">
        <f>E8+E9</f>
        <v>47.106000000000002</v>
      </c>
      <c r="F14" s="123">
        <v>0.22500000000000001</v>
      </c>
      <c r="G14" s="126">
        <v>3.0489999999999999</v>
      </c>
      <c r="H14" s="124">
        <f>IF(G14&gt;0,G14*F14*E14,E14*F14)</f>
        <v>32.31589365</v>
      </c>
      <c r="I14" s="150">
        <v>219.35</v>
      </c>
      <c r="J14" s="150">
        <f>I14*H14</f>
        <v>7088.4912721274995</v>
      </c>
      <c r="K14" s="143" t="s">
        <v>186</v>
      </c>
    </row>
    <row r="15" spans="2:11" ht="28.5" hidden="1">
      <c r="B15" s="8">
        <v>10</v>
      </c>
      <c r="C15" s="130" t="s">
        <v>187</v>
      </c>
      <c r="D15" s="131" t="s">
        <v>178</v>
      </c>
      <c r="E15" s="131"/>
      <c r="F15" s="131"/>
      <c r="G15" s="131"/>
      <c r="H15" s="132">
        <f t="shared" ref="H15:H19" si="0">IF(G15&gt;0,G15*F15*E15,E15*F15)</f>
        <v>0</v>
      </c>
      <c r="I15" s="151" t="s">
        <v>11</v>
      </c>
      <c r="J15" s="151"/>
      <c r="K15" s="146"/>
    </row>
    <row r="16" spans="2:11" hidden="1">
      <c r="B16" s="8">
        <v>11</v>
      </c>
      <c r="C16" s="130" t="s">
        <v>188</v>
      </c>
      <c r="D16" s="131" t="s">
        <v>189</v>
      </c>
      <c r="E16" s="131"/>
      <c r="F16" s="131"/>
      <c r="G16" s="131"/>
      <c r="H16" s="132">
        <f t="shared" si="0"/>
        <v>0</v>
      </c>
      <c r="I16" s="151" t="s">
        <v>11</v>
      </c>
      <c r="J16" s="151"/>
      <c r="K16" s="146"/>
    </row>
    <row r="17" spans="2:11" ht="28.5" hidden="1">
      <c r="B17" s="8">
        <v>12</v>
      </c>
      <c r="C17" s="133" t="s">
        <v>190</v>
      </c>
      <c r="D17" s="134"/>
      <c r="E17" s="134"/>
      <c r="F17" s="134"/>
      <c r="G17" s="134"/>
      <c r="H17" s="135">
        <f t="shared" si="0"/>
        <v>0</v>
      </c>
      <c r="I17" s="152"/>
      <c r="J17" s="152"/>
      <c r="K17" s="73"/>
    </row>
    <row r="18" spans="2:11" hidden="1">
      <c r="B18" s="8"/>
      <c r="C18" s="133" t="s">
        <v>191</v>
      </c>
      <c r="D18" s="134" t="s">
        <v>12</v>
      </c>
      <c r="E18" s="136">
        <v>0</v>
      </c>
      <c r="F18" s="136">
        <v>0</v>
      </c>
      <c r="G18" s="136">
        <v>0</v>
      </c>
      <c r="H18" s="137">
        <f t="shared" si="0"/>
        <v>0</v>
      </c>
      <c r="I18" s="152">
        <v>2.8</v>
      </c>
      <c r="J18" s="152">
        <f>I18*E18</f>
        <v>0</v>
      </c>
      <c r="K18" s="73"/>
    </row>
    <row r="19" spans="2:11" hidden="1">
      <c r="B19" s="8"/>
      <c r="C19" s="133" t="s">
        <v>192</v>
      </c>
      <c r="D19" s="134" t="s">
        <v>12</v>
      </c>
      <c r="E19" s="136">
        <v>0</v>
      </c>
      <c r="F19" s="136">
        <v>0</v>
      </c>
      <c r="G19" s="136">
        <v>0</v>
      </c>
      <c r="H19" s="135">
        <f t="shared" si="0"/>
        <v>0</v>
      </c>
      <c r="I19" s="152">
        <v>1.9</v>
      </c>
      <c r="J19" s="152"/>
      <c r="K19" s="73"/>
    </row>
    <row r="20" spans="2:11" ht="42.75">
      <c r="B20" s="8">
        <v>8</v>
      </c>
      <c r="C20" s="23" t="s">
        <v>202</v>
      </c>
      <c r="D20" s="8" t="s">
        <v>13</v>
      </c>
      <c r="E20" s="8">
        <v>9.0649999999999995</v>
      </c>
      <c r="F20" s="8">
        <v>9.1850000000000005</v>
      </c>
      <c r="G20" s="96" t="s">
        <v>11</v>
      </c>
      <c r="H20" s="124">
        <f>E20*F20</f>
        <v>83.262024999999994</v>
      </c>
      <c r="I20" s="41">
        <v>136</v>
      </c>
      <c r="J20" s="41">
        <f>I20*H20</f>
        <v>11323.635399999999</v>
      </c>
      <c r="K20" s="73" t="s">
        <v>193</v>
      </c>
    </row>
    <row r="21" spans="2:11" ht="42.75">
      <c r="B21" s="8">
        <v>9</v>
      </c>
      <c r="C21" s="23" t="s">
        <v>204</v>
      </c>
      <c r="D21" s="8" t="s">
        <v>10</v>
      </c>
      <c r="E21" s="8">
        <v>9.0649999999999995</v>
      </c>
      <c r="F21" s="8">
        <v>9.1850000000000005</v>
      </c>
      <c r="G21" s="96" t="s">
        <v>11</v>
      </c>
      <c r="H21" s="124">
        <f>E21*F21</f>
        <v>83.262024999999994</v>
      </c>
      <c r="I21" s="41">
        <v>219.75</v>
      </c>
      <c r="J21" s="41">
        <f>I21*H21</f>
        <v>18296.829993749998</v>
      </c>
      <c r="K21" s="73" t="s">
        <v>194</v>
      </c>
    </row>
    <row r="22" spans="2:11" ht="42.75">
      <c r="B22" s="8">
        <v>10</v>
      </c>
      <c r="C22" s="122" t="s">
        <v>195</v>
      </c>
      <c r="D22" s="123" t="s">
        <v>11</v>
      </c>
      <c r="E22" s="123" t="s">
        <v>11</v>
      </c>
      <c r="F22" s="123" t="s">
        <v>11</v>
      </c>
      <c r="G22" s="123" t="s">
        <v>11</v>
      </c>
      <c r="H22" s="123" t="s">
        <v>11</v>
      </c>
      <c r="I22" s="150" t="s">
        <v>11</v>
      </c>
      <c r="J22" s="150" t="s">
        <v>11</v>
      </c>
      <c r="K22" s="123" t="s">
        <v>11</v>
      </c>
    </row>
    <row r="23" spans="2:11">
      <c r="B23" s="8">
        <v>10.1</v>
      </c>
      <c r="C23" s="122" t="s">
        <v>196</v>
      </c>
      <c r="D23" s="123" t="s">
        <v>197</v>
      </c>
      <c r="E23" s="138">
        <v>20.725388601036268</v>
      </c>
      <c r="F23" s="123" t="s">
        <v>11</v>
      </c>
      <c r="G23" s="123" t="s">
        <v>11</v>
      </c>
      <c r="H23" s="124">
        <v>21</v>
      </c>
      <c r="I23" s="150">
        <v>29.23</v>
      </c>
      <c r="J23" s="150">
        <f>I23*E23</f>
        <v>605.80310880829018</v>
      </c>
      <c r="K23" s="143"/>
    </row>
    <row r="24" spans="2:11">
      <c r="B24" s="8">
        <v>10.199999999999999</v>
      </c>
      <c r="C24" s="122" t="s">
        <v>200</v>
      </c>
      <c r="D24" s="123" t="s">
        <v>14</v>
      </c>
      <c r="E24" s="123">
        <v>19.8</v>
      </c>
      <c r="F24" s="123" t="s">
        <v>11</v>
      </c>
      <c r="G24" s="123" t="s">
        <v>11</v>
      </c>
      <c r="H24" s="124">
        <v>19.8</v>
      </c>
      <c r="I24" s="150">
        <v>33.4</v>
      </c>
      <c r="J24" s="150">
        <f>I24*H24</f>
        <v>661.32</v>
      </c>
      <c r="K24" s="143"/>
    </row>
    <row r="25" spans="2:11" ht="85.5">
      <c r="B25" s="8">
        <v>11</v>
      </c>
      <c r="C25" s="122" t="s">
        <v>198</v>
      </c>
      <c r="D25" s="123" t="s">
        <v>10</v>
      </c>
      <c r="E25" s="123">
        <v>180</v>
      </c>
      <c r="F25" s="123">
        <v>4</v>
      </c>
      <c r="G25" s="96" t="s">
        <v>11</v>
      </c>
      <c r="H25" s="124">
        <f>E25*F25</f>
        <v>720</v>
      </c>
      <c r="I25" s="150">
        <v>108.65</v>
      </c>
      <c r="J25" s="150">
        <f>I25*H25</f>
        <v>78228</v>
      </c>
      <c r="K25" s="143"/>
    </row>
    <row r="26" spans="2:11" ht="15.75" thickBot="1">
      <c r="B26" s="166"/>
      <c r="C26" s="167"/>
      <c r="D26" s="167"/>
      <c r="E26" s="167"/>
      <c r="F26" s="167"/>
      <c r="G26" s="167"/>
      <c r="H26" s="167"/>
      <c r="I26" s="167"/>
      <c r="J26" s="168"/>
      <c r="K26" s="143"/>
    </row>
    <row r="27" spans="2:11" ht="18.75" thickBot="1">
      <c r="B27" s="165" t="s">
        <v>101</v>
      </c>
      <c r="C27" s="165"/>
      <c r="D27" s="165"/>
      <c r="E27" s="165"/>
      <c r="F27" s="165"/>
      <c r="G27" s="165"/>
      <c r="H27" s="165"/>
      <c r="I27" s="165"/>
      <c r="J27" s="91">
        <f>SUM(J7:J25)</f>
        <v>180898.31622117182</v>
      </c>
      <c r="K27" s="147"/>
    </row>
  </sheetData>
  <mergeCells count="5">
    <mergeCell ref="B27:I27"/>
    <mergeCell ref="B26:J26"/>
    <mergeCell ref="B5:K5"/>
    <mergeCell ref="B6:K6"/>
    <mergeCell ref="B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89"/>
  <sheetViews>
    <sheetView tabSelected="1" zoomScale="70" zoomScaleNormal="70" workbookViewId="0">
      <pane ySplit="4" topLeftCell="A5" activePane="bottomLeft" state="frozen"/>
      <selection pane="bottomLeft"/>
    </sheetView>
  </sheetViews>
  <sheetFormatPr defaultColWidth="8.85546875" defaultRowHeight="14.25"/>
  <cols>
    <col min="1" max="1" width="2" style="1" customWidth="1"/>
    <col min="2" max="2" width="11.28515625" style="3" bestFit="1" customWidth="1"/>
    <col min="3" max="3" width="90.85546875" style="1" bestFit="1" customWidth="1"/>
    <col min="4" max="4" width="10.7109375" style="1" bestFit="1" customWidth="1"/>
    <col min="5" max="5" width="9.140625" style="1" bestFit="1" customWidth="1"/>
    <col min="6" max="6" width="10.140625" style="1" bestFit="1" customWidth="1"/>
    <col min="7" max="7" width="21" style="3" bestFit="1" customWidth="1"/>
    <col min="8" max="8" width="11.7109375" style="1" bestFit="1" customWidth="1"/>
    <col min="9" max="9" width="11.140625" style="4" bestFit="1" customWidth="1"/>
    <col min="10" max="10" width="16.28515625" style="56" bestFit="1" customWidth="1"/>
    <col min="11" max="11" width="31.7109375" style="1" hidden="1" customWidth="1"/>
    <col min="12" max="16384" width="8.85546875" style="1"/>
  </cols>
  <sheetData>
    <row r="2" spans="2:11" ht="20.25">
      <c r="B2" s="171" t="s">
        <v>94</v>
      </c>
      <c r="C2" s="171"/>
    </row>
    <row r="4" spans="2:11" s="29" customFormat="1" ht="18">
      <c r="B4" s="45" t="s">
        <v>35</v>
      </c>
      <c r="C4" s="46" t="s">
        <v>0</v>
      </c>
      <c r="D4" s="47" t="s">
        <v>42</v>
      </c>
      <c r="E4" s="47" t="s">
        <v>43</v>
      </c>
      <c r="F4" s="47" t="s">
        <v>44</v>
      </c>
      <c r="G4" s="45" t="s">
        <v>69</v>
      </c>
      <c r="H4" s="47" t="s">
        <v>4</v>
      </c>
      <c r="I4" s="45" t="s">
        <v>5</v>
      </c>
      <c r="J4" s="57" t="s">
        <v>6</v>
      </c>
      <c r="K4" s="30" t="s">
        <v>7</v>
      </c>
    </row>
    <row r="5" spans="2:11" s="51" customFormat="1" ht="18">
      <c r="B5" s="52"/>
      <c r="C5" s="54"/>
      <c r="D5" s="55"/>
      <c r="E5" s="55"/>
      <c r="F5" s="55"/>
      <c r="G5" s="52"/>
      <c r="H5" s="55"/>
      <c r="I5" s="52"/>
      <c r="J5" s="58"/>
      <c r="K5" s="50"/>
    </row>
    <row r="6" spans="2:11" s="29" customFormat="1" ht="18">
      <c r="B6" s="174" t="s">
        <v>88</v>
      </c>
      <c r="C6" s="175"/>
      <c r="D6" s="175"/>
      <c r="E6" s="175"/>
      <c r="F6" s="175"/>
      <c r="G6" s="175"/>
      <c r="H6" s="175"/>
      <c r="I6" s="175"/>
      <c r="J6" s="175"/>
      <c r="K6" s="176"/>
    </row>
    <row r="7" spans="2:11" ht="42.75">
      <c r="B7" s="8">
        <v>1</v>
      </c>
      <c r="C7" s="9" t="s">
        <v>38</v>
      </c>
      <c r="D7" s="15">
        <v>67</v>
      </c>
      <c r="E7" s="15">
        <v>11</v>
      </c>
      <c r="F7" s="15">
        <v>3.28</v>
      </c>
      <c r="G7" s="8" t="s">
        <v>9</v>
      </c>
      <c r="H7" s="41">
        <f>(D7*E7*F7)/35.32</f>
        <v>68.44167610419025</v>
      </c>
      <c r="I7" s="41">
        <v>205.45</v>
      </c>
      <c r="J7" s="59">
        <f>H7*I7</f>
        <v>14061.342355605886</v>
      </c>
      <c r="K7" s="19" t="s">
        <v>58</v>
      </c>
    </row>
    <row r="8" spans="2:11" ht="72">
      <c r="B8" s="8">
        <v>2</v>
      </c>
      <c r="C8" s="12" t="s">
        <v>82</v>
      </c>
      <c r="D8" s="15">
        <f>SUM(D9:D12)</f>
        <v>43</v>
      </c>
      <c r="E8" s="15" t="s">
        <v>11</v>
      </c>
      <c r="F8" s="15" t="s">
        <v>11</v>
      </c>
      <c r="G8" s="8" t="s">
        <v>14</v>
      </c>
      <c r="H8" s="41" t="s">
        <v>11</v>
      </c>
      <c r="I8" s="41" t="s">
        <v>11</v>
      </c>
      <c r="J8" s="59" t="s">
        <v>11</v>
      </c>
      <c r="K8" s="8" t="s">
        <v>11</v>
      </c>
    </row>
    <row r="9" spans="2:11">
      <c r="B9" s="72">
        <v>2.1</v>
      </c>
      <c r="C9" s="36" t="s">
        <v>210</v>
      </c>
      <c r="D9" s="39">
        <v>3</v>
      </c>
      <c r="E9" s="15" t="s">
        <v>11</v>
      </c>
      <c r="F9" s="15" t="s">
        <v>11</v>
      </c>
      <c r="G9" s="72" t="s">
        <v>14</v>
      </c>
      <c r="H9" s="42">
        <f t="shared" ref="H9:H12" si="0">D9</f>
        <v>3</v>
      </c>
      <c r="I9" s="42">
        <v>255.55</v>
      </c>
      <c r="J9" s="60">
        <f t="shared" ref="J9:J11" si="1">H9*I9</f>
        <v>766.65000000000009</v>
      </c>
      <c r="K9" s="8"/>
    </row>
    <row r="10" spans="2:11">
      <c r="B10" s="72">
        <v>2.2000000000000002</v>
      </c>
      <c r="C10" s="36" t="s">
        <v>207</v>
      </c>
      <c r="D10" s="39">
        <v>17</v>
      </c>
      <c r="E10" s="15" t="s">
        <v>11</v>
      </c>
      <c r="F10" s="15" t="s">
        <v>11</v>
      </c>
      <c r="G10" s="72" t="s">
        <v>14</v>
      </c>
      <c r="H10" s="42">
        <f t="shared" si="0"/>
        <v>17</v>
      </c>
      <c r="I10" s="42">
        <v>255.55</v>
      </c>
      <c r="J10" s="60">
        <f t="shared" si="1"/>
        <v>4344.3500000000004</v>
      </c>
      <c r="K10" s="8"/>
    </row>
    <row r="11" spans="2:11">
      <c r="B11" s="72">
        <v>2.2999999999999998</v>
      </c>
      <c r="C11" s="36" t="s">
        <v>208</v>
      </c>
      <c r="D11" s="39">
        <v>19</v>
      </c>
      <c r="E11" s="15" t="s">
        <v>11</v>
      </c>
      <c r="F11" s="15" t="s">
        <v>11</v>
      </c>
      <c r="G11" s="72" t="s">
        <v>14</v>
      </c>
      <c r="H11" s="42">
        <f t="shared" si="0"/>
        <v>19</v>
      </c>
      <c r="I11" s="42">
        <v>417.35</v>
      </c>
      <c r="J11" s="60">
        <f t="shared" si="1"/>
        <v>7929.6500000000005</v>
      </c>
      <c r="K11" s="8"/>
    </row>
    <row r="12" spans="2:11" ht="15" thickBot="1">
      <c r="B12" s="17">
        <v>2.4</v>
      </c>
      <c r="C12" s="36" t="s">
        <v>209</v>
      </c>
      <c r="D12" s="39">
        <v>4</v>
      </c>
      <c r="E12" s="15" t="s">
        <v>11</v>
      </c>
      <c r="F12" s="15" t="s">
        <v>11</v>
      </c>
      <c r="G12" s="17" t="s">
        <v>14</v>
      </c>
      <c r="H12" s="42">
        <f t="shared" si="0"/>
        <v>4</v>
      </c>
      <c r="I12" s="42">
        <v>417.35</v>
      </c>
      <c r="J12" s="60">
        <f t="shared" ref="J12:J70" si="2">H12*I12</f>
        <v>1669.4</v>
      </c>
      <c r="K12" s="8"/>
    </row>
    <row r="13" spans="2:11" ht="16.5" thickBot="1">
      <c r="B13" s="172" t="s">
        <v>95</v>
      </c>
      <c r="C13" s="173"/>
      <c r="D13" s="173"/>
      <c r="E13" s="173"/>
      <c r="F13" s="173"/>
      <c r="G13" s="173"/>
      <c r="H13" s="173"/>
      <c r="I13" s="185"/>
      <c r="J13" s="61">
        <f>SUM(J7:J12)</f>
        <v>28771.392355605887</v>
      </c>
      <c r="K13" s="33"/>
    </row>
    <row r="14" spans="2:11" ht="15.75">
      <c r="B14" s="48"/>
      <c r="C14" s="49"/>
      <c r="D14" s="49"/>
      <c r="E14" s="49"/>
      <c r="F14" s="49"/>
      <c r="G14" s="49"/>
      <c r="H14" s="49"/>
      <c r="I14" s="49"/>
      <c r="J14" s="62"/>
      <c r="K14" s="33"/>
    </row>
    <row r="15" spans="2:11" s="31" customFormat="1" ht="18">
      <c r="B15" s="177" t="s">
        <v>89</v>
      </c>
      <c r="C15" s="178"/>
      <c r="D15" s="178"/>
      <c r="E15" s="178"/>
      <c r="F15" s="178"/>
      <c r="G15" s="178"/>
      <c r="H15" s="178"/>
      <c r="I15" s="178"/>
      <c r="J15" s="178"/>
      <c r="K15" s="176"/>
    </row>
    <row r="16" spans="2:11" ht="28.5">
      <c r="B16" s="8">
        <v>3</v>
      </c>
      <c r="C16" s="9" t="s">
        <v>15</v>
      </c>
      <c r="D16" s="15">
        <v>1.5</v>
      </c>
      <c r="E16" s="15">
        <v>1.5</v>
      </c>
      <c r="F16" s="15">
        <f>75/1000</f>
        <v>7.4999999999999997E-2</v>
      </c>
      <c r="G16" s="8" t="s">
        <v>9</v>
      </c>
      <c r="H16" s="41">
        <f>D16*E16*F16*3</f>
        <v>0.50624999999999998</v>
      </c>
      <c r="I16" s="41">
        <v>7783.65</v>
      </c>
      <c r="J16" s="59">
        <f>H16*I16</f>
        <v>3940.4728124999997</v>
      </c>
      <c r="K16" s="19" t="s">
        <v>58</v>
      </c>
    </row>
    <row r="17" spans="2:11" ht="57">
      <c r="B17" s="180">
        <v>4</v>
      </c>
      <c r="C17" s="12" t="s">
        <v>18</v>
      </c>
      <c r="D17" s="15" t="s">
        <v>11</v>
      </c>
      <c r="E17" s="15" t="s">
        <v>11</v>
      </c>
      <c r="F17" s="15" t="s">
        <v>11</v>
      </c>
      <c r="G17" s="8" t="s">
        <v>11</v>
      </c>
      <c r="H17" s="41" t="s">
        <v>11</v>
      </c>
      <c r="I17" s="41" t="s">
        <v>11</v>
      </c>
      <c r="J17" s="59" t="s">
        <v>11</v>
      </c>
      <c r="K17" s="19" t="s">
        <v>58</v>
      </c>
    </row>
    <row r="18" spans="2:11">
      <c r="B18" s="181"/>
      <c r="C18" s="12" t="s">
        <v>39</v>
      </c>
      <c r="D18" s="15">
        <f>450/1000</f>
        <v>0.45</v>
      </c>
      <c r="E18" s="15">
        <f>300/1000</f>
        <v>0.3</v>
      </c>
      <c r="F18" s="15">
        <f>5414/1000</f>
        <v>5.4139999999999997</v>
      </c>
      <c r="G18" s="8" t="s">
        <v>9</v>
      </c>
      <c r="H18" s="41">
        <f>D18*E18*F18*3</f>
        <v>2.1926700000000001</v>
      </c>
      <c r="I18" s="41">
        <v>8364.2000000000007</v>
      </c>
      <c r="J18" s="59">
        <f>H18*I18</f>
        <v>18339.930414000002</v>
      </c>
      <c r="K18" s="8" t="s">
        <v>45</v>
      </c>
    </row>
    <row r="19" spans="2:11">
      <c r="B19" s="181"/>
      <c r="C19" s="12" t="s">
        <v>40</v>
      </c>
      <c r="D19" s="15">
        <v>1.5</v>
      </c>
      <c r="E19" s="15">
        <v>1.5</v>
      </c>
      <c r="F19" s="15">
        <v>0.2</v>
      </c>
      <c r="G19" s="8" t="s">
        <v>9</v>
      </c>
      <c r="H19" s="41">
        <f t="shared" ref="H19" si="3">D19*E19*F19*3</f>
        <v>1.35</v>
      </c>
      <c r="I19" s="41">
        <v>8364.2000000000007</v>
      </c>
      <c r="J19" s="59">
        <f t="shared" ref="J19:J20" si="4">H19*I19</f>
        <v>11291.670000000002</v>
      </c>
      <c r="K19" s="8" t="s">
        <v>46</v>
      </c>
    </row>
    <row r="20" spans="2:11">
      <c r="B20" s="181"/>
      <c r="C20" s="183" t="s">
        <v>41</v>
      </c>
      <c r="D20" s="15">
        <f>2489/1000</f>
        <v>2.4889999999999999</v>
      </c>
      <c r="E20" s="15">
        <v>0.22500000000000001</v>
      </c>
      <c r="F20" s="15">
        <v>0.3</v>
      </c>
      <c r="G20" s="8" t="s">
        <v>9</v>
      </c>
      <c r="H20" s="41">
        <f>D20*E20*F20</f>
        <v>0.1680075</v>
      </c>
      <c r="I20" s="41">
        <v>8364.2000000000007</v>
      </c>
      <c r="J20" s="59">
        <f t="shared" si="4"/>
        <v>1405.2483315000002</v>
      </c>
      <c r="K20" s="8" t="s">
        <v>47</v>
      </c>
    </row>
    <row r="21" spans="2:11">
      <c r="B21" s="181"/>
      <c r="C21" s="184"/>
      <c r="D21" s="15">
        <v>7.3860000000000001</v>
      </c>
      <c r="E21" s="15">
        <v>0.22500000000000001</v>
      </c>
      <c r="F21" s="15">
        <v>0.3</v>
      </c>
      <c r="G21" s="8" t="s">
        <v>9</v>
      </c>
      <c r="H21" s="41">
        <f>D21*E21*F21</f>
        <v>0.49855499999999997</v>
      </c>
      <c r="I21" s="41">
        <v>8364.2000000000007</v>
      </c>
      <c r="J21" s="59">
        <f t="shared" ref="J21" si="5">H21*I21</f>
        <v>4170.013731</v>
      </c>
      <c r="K21" s="8" t="s">
        <v>49</v>
      </c>
    </row>
    <row r="22" spans="2:11">
      <c r="B22" s="181"/>
      <c r="C22" s="184"/>
      <c r="D22" s="15">
        <v>2.4889999999999999</v>
      </c>
      <c r="E22" s="15">
        <v>0.22500000000000001</v>
      </c>
      <c r="F22" s="15">
        <v>0.3</v>
      </c>
      <c r="G22" s="8" t="s">
        <v>9</v>
      </c>
      <c r="H22" s="41">
        <f>D22*E22*F22</f>
        <v>0.1680075</v>
      </c>
      <c r="I22" s="41">
        <v>8364.2000000000007</v>
      </c>
      <c r="J22" s="59">
        <f>H22*I22</f>
        <v>1405.2483315000002</v>
      </c>
      <c r="K22" s="8"/>
    </row>
    <row r="23" spans="2:11">
      <c r="B23" s="182"/>
      <c r="C23" s="16" t="s">
        <v>113</v>
      </c>
      <c r="D23" s="15">
        <v>16</v>
      </c>
      <c r="E23" s="15">
        <v>3</v>
      </c>
      <c r="F23" s="15">
        <f>0.5/3.81</f>
        <v>0.13123359580052493</v>
      </c>
      <c r="G23" s="8" t="s">
        <v>9</v>
      </c>
      <c r="H23" s="41">
        <f>D23*E23*F23</f>
        <v>6.2992125984251963</v>
      </c>
      <c r="I23" s="41">
        <v>8364.2000000000007</v>
      </c>
      <c r="J23" s="59">
        <f>H23*I23</f>
        <v>52687.874015748035</v>
      </c>
      <c r="K23" s="8" t="s">
        <v>48</v>
      </c>
    </row>
    <row r="24" spans="2:11" ht="71.25">
      <c r="B24" s="17">
        <v>5</v>
      </c>
      <c r="C24" s="36" t="s">
        <v>17</v>
      </c>
      <c r="D24" s="39" t="s">
        <v>11</v>
      </c>
      <c r="E24" s="39" t="s">
        <v>11</v>
      </c>
      <c r="F24" s="39" t="s">
        <v>11</v>
      </c>
      <c r="G24" s="17" t="s">
        <v>16</v>
      </c>
      <c r="H24" s="42">
        <f>(0.284+0.036+0.038+0.09)*7900</f>
        <v>3539.2</v>
      </c>
      <c r="I24" s="42">
        <v>88.95</v>
      </c>
      <c r="J24" s="60">
        <f t="shared" si="2"/>
        <v>314811.83999999997</v>
      </c>
      <c r="K24" s="19" t="s">
        <v>58</v>
      </c>
    </row>
    <row r="25" spans="2:11" ht="28.5">
      <c r="B25" s="8">
        <v>6</v>
      </c>
      <c r="C25" s="12" t="s">
        <v>52</v>
      </c>
      <c r="D25" s="39" t="s">
        <v>11</v>
      </c>
      <c r="E25" s="39" t="s">
        <v>11</v>
      </c>
      <c r="F25" s="39" t="s">
        <v>11</v>
      </c>
      <c r="G25" s="8" t="s">
        <v>13</v>
      </c>
      <c r="H25" s="41" t="s">
        <v>11</v>
      </c>
      <c r="I25" s="41">
        <v>307.95</v>
      </c>
      <c r="J25" s="59" t="s">
        <v>11</v>
      </c>
      <c r="K25" s="19" t="s">
        <v>58</v>
      </c>
    </row>
    <row r="26" spans="2:11">
      <c r="B26" s="8">
        <v>6.1</v>
      </c>
      <c r="C26" s="12" t="s">
        <v>40</v>
      </c>
      <c r="D26" s="15">
        <f>(1.5+0.075+0.075+1.5+0.075+0.075)*2</f>
        <v>6.6000000000000005</v>
      </c>
      <c r="E26" s="15">
        <v>0.2</v>
      </c>
      <c r="F26" s="39" t="s">
        <v>11</v>
      </c>
      <c r="G26" s="8" t="s">
        <v>13</v>
      </c>
      <c r="H26" s="41">
        <f>D26*E26*3</f>
        <v>3.9600000000000009</v>
      </c>
      <c r="I26" s="41">
        <v>307.95</v>
      </c>
      <c r="J26" s="59">
        <f>H26*I26</f>
        <v>1219.4820000000002</v>
      </c>
      <c r="K26" s="8" t="s">
        <v>46</v>
      </c>
    </row>
    <row r="27" spans="2:11">
      <c r="B27" s="180">
        <v>6.2</v>
      </c>
      <c r="C27" s="183" t="s">
        <v>41</v>
      </c>
      <c r="D27" s="15">
        <f>2489/1000</f>
        <v>2.4889999999999999</v>
      </c>
      <c r="E27" s="15">
        <f>0.225+0.03+0.03+((0.3+0.03+0.03)*2)</f>
        <v>1.0049999999999999</v>
      </c>
      <c r="F27" s="15" t="s">
        <v>11</v>
      </c>
      <c r="G27" s="8" t="s">
        <v>13</v>
      </c>
      <c r="H27" s="41">
        <f>D27*E27</f>
        <v>2.5014449999999995</v>
      </c>
      <c r="I27" s="41">
        <v>608.35</v>
      </c>
      <c r="J27" s="59">
        <f t="shared" ref="J27:J30" si="6">H27*I27</f>
        <v>1521.7540657499997</v>
      </c>
      <c r="K27" s="8" t="s">
        <v>47</v>
      </c>
    </row>
    <row r="28" spans="2:11">
      <c r="B28" s="181"/>
      <c r="C28" s="184"/>
      <c r="D28" s="15">
        <v>7.3860000000000001</v>
      </c>
      <c r="E28" s="15">
        <f>0.225+0.03+0.03+((0.3+0.03+0.03)*2)</f>
        <v>1.0049999999999999</v>
      </c>
      <c r="F28" s="15" t="s">
        <v>11</v>
      </c>
      <c r="G28" s="8" t="s">
        <v>13</v>
      </c>
      <c r="H28" s="41">
        <f t="shared" ref="H28:H30" si="7">D28*E28</f>
        <v>7.4229299999999991</v>
      </c>
      <c r="I28" s="41">
        <v>608.35</v>
      </c>
      <c r="J28" s="59">
        <f t="shared" si="6"/>
        <v>4515.7394654999998</v>
      </c>
      <c r="K28" s="8" t="s">
        <v>49</v>
      </c>
    </row>
    <row r="29" spans="2:11">
      <c r="B29" s="182"/>
      <c r="C29" s="184"/>
      <c r="D29" s="15">
        <v>2.4889999999999999</v>
      </c>
      <c r="E29" s="15">
        <f>0.225+0.03+0.03+((0.3+0.03+0.03)*2)</f>
        <v>1.0049999999999999</v>
      </c>
      <c r="F29" s="15" t="s">
        <v>11</v>
      </c>
      <c r="G29" s="8" t="s">
        <v>13</v>
      </c>
      <c r="H29" s="41">
        <f t="shared" si="7"/>
        <v>2.5014449999999995</v>
      </c>
      <c r="I29" s="41">
        <v>608.35</v>
      </c>
      <c r="J29" s="59">
        <f t="shared" si="6"/>
        <v>1521.7540657499997</v>
      </c>
      <c r="K29" s="8"/>
    </row>
    <row r="30" spans="2:11">
      <c r="B30" s="8">
        <v>6.3</v>
      </c>
      <c r="C30" s="16" t="s">
        <v>113</v>
      </c>
      <c r="D30" s="15">
        <v>16</v>
      </c>
      <c r="E30" s="15">
        <f>3+0.025+0.025+((0.13+0.025+0.025+0.025)*2)</f>
        <v>3.46</v>
      </c>
      <c r="F30" s="15" t="s">
        <v>11</v>
      </c>
      <c r="G30" s="8" t="s">
        <v>13</v>
      </c>
      <c r="H30" s="41">
        <f t="shared" si="7"/>
        <v>55.36</v>
      </c>
      <c r="I30" s="41">
        <v>608.35</v>
      </c>
      <c r="J30" s="59">
        <f t="shared" si="6"/>
        <v>33678.256000000001</v>
      </c>
      <c r="K30" s="8" t="s">
        <v>48</v>
      </c>
    </row>
    <row r="31" spans="2:11" ht="15" thickBot="1">
      <c r="B31" s="8">
        <v>6.4</v>
      </c>
      <c r="C31" s="12" t="s">
        <v>39</v>
      </c>
      <c r="D31" s="15">
        <f>((450/1000)+0.025+0.025+(300/1000)+0.025+0.025)*2</f>
        <v>1.7000000000000002</v>
      </c>
      <c r="E31" s="15">
        <f>F18</f>
        <v>5.4139999999999997</v>
      </c>
      <c r="F31" s="39" t="s">
        <v>11</v>
      </c>
      <c r="G31" s="8" t="s">
        <v>13</v>
      </c>
      <c r="H31" s="41">
        <f>D31*E31*3</f>
        <v>27.611400000000003</v>
      </c>
      <c r="I31" s="41">
        <v>804.25</v>
      </c>
      <c r="J31" s="59">
        <f>H31*I31</f>
        <v>22206.468450000004</v>
      </c>
      <c r="K31" s="8" t="s">
        <v>45</v>
      </c>
    </row>
    <row r="32" spans="2:11" s="2" customFormat="1" ht="16.5" thickBot="1">
      <c r="B32" s="172" t="s">
        <v>96</v>
      </c>
      <c r="C32" s="173"/>
      <c r="D32" s="173"/>
      <c r="E32" s="173"/>
      <c r="F32" s="173"/>
      <c r="G32" s="173"/>
      <c r="H32" s="173"/>
      <c r="I32" s="173"/>
      <c r="J32" s="63">
        <f>SUM(J20:J31)</f>
        <v>439143.67845674796</v>
      </c>
      <c r="K32" s="35"/>
    </row>
    <row r="33" spans="2:11" s="2" customFormat="1" ht="15.75">
      <c r="B33" s="48"/>
      <c r="C33" s="49"/>
      <c r="D33" s="49"/>
      <c r="E33" s="49"/>
      <c r="F33" s="49"/>
      <c r="G33" s="49"/>
      <c r="H33" s="49"/>
      <c r="I33" s="49"/>
      <c r="J33" s="62"/>
      <c r="K33" s="35"/>
    </row>
    <row r="34" spans="2:11" ht="18">
      <c r="B34" s="177" t="s">
        <v>90</v>
      </c>
      <c r="C34" s="178"/>
      <c r="D34" s="178"/>
      <c r="E34" s="178"/>
      <c r="F34" s="178"/>
      <c r="G34" s="178"/>
      <c r="H34" s="178"/>
      <c r="I34" s="178"/>
      <c r="J34" s="178"/>
      <c r="K34" s="176"/>
    </row>
    <row r="35" spans="2:11" ht="42.75">
      <c r="B35" s="8">
        <v>7</v>
      </c>
      <c r="C35" s="12" t="s">
        <v>19</v>
      </c>
      <c r="D35" s="15">
        <v>66</v>
      </c>
      <c r="E35" s="15">
        <v>9</v>
      </c>
      <c r="F35" s="15">
        <v>0</v>
      </c>
      <c r="G35" s="8" t="s">
        <v>13</v>
      </c>
      <c r="H35" s="41">
        <f>D35*E35/14.51</f>
        <v>40.937284631288769</v>
      </c>
      <c r="I35" s="41">
        <v>545</v>
      </c>
      <c r="J35" s="59">
        <f t="shared" si="2"/>
        <v>22310.820124052378</v>
      </c>
      <c r="K35" s="19" t="s">
        <v>58</v>
      </c>
    </row>
    <row r="36" spans="2:11" ht="115.5" thickBot="1">
      <c r="B36" s="17">
        <v>8</v>
      </c>
      <c r="C36" s="36" t="s">
        <v>219</v>
      </c>
      <c r="D36" s="39">
        <f>D47</f>
        <v>39.895013123359583</v>
      </c>
      <c r="E36" s="39">
        <v>9</v>
      </c>
      <c r="F36" s="39">
        <v>0</v>
      </c>
      <c r="G36" s="17" t="s">
        <v>13</v>
      </c>
      <c r="H36" s="42">
        <f>D36*E36/14.51</f>
        <v>24.745356175757152</v>
      </c>
      <c r="I36" s="42">
        <v>1311.05</v>
      </c>
      <c r="J36" s="60">
        <f>H36*I36</f>
        <v>32442.399214226414</v>
      </c>
      <c r="K36" s="19" t="s">
        <v>74</v>
      </c>
    </row>
    <row r="37" spans="2:11" s="2" customFormat="1" ht="16.5" thickBot="1">
      <c r="B37" s="172" t="s">
        <v>97</v>
      </c>
      <c r="C37" s="173"/>
      <c r="D37" s="173"/>
      <c r="E37" s="173"/>
      <c r="F37" s="173"/>
      <c r="G37" s="173"/>
      <c r="H37" s="173"/>
      <c r="I37" s="173"/>
      <c r="J37" s="64">
        <f>SUM(J35:J36)</f>
        <v>54753.219338278795</v>
      </c>
      <c r="K37" s="28"/>
    </row>
    <row r="38" spans="2:11" s="2" customFormat="1" ht="15.75">
      <c r="B38" s="48"/>
      <c r="C38" s="49"/>
      <c r="D38" s="49"/>
      <c r="E38" s="49"/>
      <c r="F38" s="49"/>
      <c r="G38" s="49"/>
      <c r="H38" s="49"/>
      <c r="I38" s="49"/>
      <c r="J38" s="65"/>
      <c r="K38" s="28"/>
    </row>
    <row r="39" spans="2:11" ht="18">
      <c r="B39" s="177" t="s">
        <v>103</v>
      </c>
      <c r="C39" s="178"/>
      <c r="D39" s="178"/>
      <c r="E39" s="178"/>
      <c r="F39" s="178"/>
      <c r="G39" s="178"/>
      <c r="H39" s="178"/>
      <c r="I39" s="178"/>
      <c r="J39" s="179"/>
      <c r="K39" s="19"/>
    </row>
    <row r="40" spans="2:11" s="190" customFormat="1" ht="42.75">
      <c r="B40" s="191">
        <v>9</v>
      </c>
      <c r="C40" s="189" t="s">
        <v>225</v>
      </c>
      <c r="D40" s="191">
        <v>151.39999999999998</v>
      </c>
      <c r="E40" s="191">
        <v>0</v>
      </c>
      <c r="F40" s="191">
        <v>7</v>
      </c>
      <c r="G40" s="191" t="s">
        <v>13</v>
      </c>
      <c r="H40" s="193">
        <f>D40*F40/14.51</f>
        <v>73.039283252928996</v>
      </c>
      <c r="I40" s="191">
        <v>2675.7</v>
      </c>
      <c r="J40" s="194">
        <f>H40*I40</f>
        <v>195431.21019986211</v>
      </c>
      <c r="K40" s="192"/>
    </row>
    <row r="41" spans="2:11" ht="44.25">
      <c r="B41" s="8">
        <v>10</v>
      </c>
      <c r="C41" s="12" t="s">
        <v>72</v>
      </c>
      <c r="D41" s="15">
        <f>(66+10+66+10)/3.81</f>
        <v>39.895013123359583</v>
      </c>
      <c r="E41" s="15">
        <v>0</v>
      </c>
      <c r="F41" s="15">
        <v>0.3</v>
      </c>
      <c r="G41" s="8" t="s">
        <v>13</v>
      </c>
      <c r="H41" s="41">
        <f>D41*F41</f>
        <v>11.968503937007874</v>
      </c>
      <c r="I41" s="41">
        <v>570.75</v>
      </c>
      <c r="J41" s="59">
        <f t="shared" si="2"/>
        <v>6831.0236220472443</v>
      </c>
      <c r="K41" s="19" t="s">
        <v>74</v>
      </c>
    </row>
    <row r="42" spans="2:11" ht="100.5">
      <c r="B42" s="8">
        <v>11</v>
      </c>
      <c r="C42" s="16" t="s">
        <v>64</v>
      </c>
      <c r="D42" s="40" t="s">
        <v>11</v>
      </c>
      <c r="E42" s="40" t="s">
        <v>11</v>
      </c>
      <c r="F42" s="40" t="s">
        <v>11</v>
      </c>
      <c r="G42" s="19" t="s">
        <v>11</v>
      </c>
      <c r="H42" s="43" t="s">
        <v>11</v>
      </c>
      <c r="I42" s="43" t="s">
        <v>11</v>
      </c>
      <c r="J42" s="66" t="s">
        <v>11</v>
      </c>
      <c r="K42" s="8" t="s">
        <v>11</v>
      </c>
    </row>
    <row r="43" spans="2:11">
      <c r="B43" s="8">
        <v>11.1</v>
      </c>
      <c r="C43" s="11" t="s">
        <v>23</v>
      </c>
      <c r="D43" s="15">
        <v>6</v>
      </c>
      <c r="E43" s="15">
        <v>3</v>
      </c>
      <c r="F43" s="15">
        <v>0</v>
      </c>
      <c r="G43" s="8" t="s">
        <v>13</v>
      </c>
      <c r="H43" s="41">
        <f>(D43*E43)/14.51</f>
        <v>1.2405237767057202</v>
      </c>
      <c r="I43" s="41">
        <v>3301.45</v>
      </c>
      <c r="J43" s="59">
        <f>H43*I43</f>
        <v>4095.5272226050997</v>
      </c>
      <c r="K43" s="8" t="s">
        <v>11</v>
      </c>
    </row>
    <row r="44" spans="2:11" ht="42.75">
      <c r="B44" s="17">
        <v>12</v>
      </c>
      <c r="C44" s="12" t="s">
        <v>24</v>
      </c>
      <c r="D44" s="15">
        <f>6+3+3</f>
        <v>12</v>
      </c>
      <c r="E44" s="15">
        <v>0</v>
      </c>
      <c r="F44" s="15">
        <v>0</v>
      </c>
      <c r="G44" s="8" t="s">
        <v>14</v>
      </c>
      <c r="H44" s="41">
        <f>D44/3.81</f>
        <v>3.1496062992125982</v>
      </c>
      <c r="I44" s="41">
        <v>418.85</v>
      </c>
      <c r="J44" s="59">
        <f>H44*I44</f>
        <v>1319.2125984251968</v>
      </c>
      <c r="K44" s="8" t="s">
        <v>11</v>
      </c>
    </row>
    <row r="45" spans="2:11" ht="57">
      <c r="B45" s="17">
        <v>13</v>
      </c>
      <c r="C45" s="12" t="s">
        <v>25</v>
      </c>
      <c r="D45" s="15">
        <v>0</v>
      </c>
      <c r="E45" s="15">
        <v>0</v>
      </c>
      <c r="F45" s="15">
        <v>0</v>
      </c>
      <c r="G45" s="8" t="s">
        <v>26</v>
      </c>
      <c r="H45" s="41">
        <v>2</v>
      </c>
      <c r="I45" s="41">
        <v>808.15</v>
      </c>
      <c r="J45" s="59">
        <f t="shared" ref="J45" si="8">H45*I45</f>
        <v>1616.3</v>
      </c>
      <c r="K45" s="8"/>
    </row>
    <row r="46" spans="2:11" ht="43.5">
      <c r="B46" s="8">
        <v>14</v>
      </c>
      <c r="C46" s="12" t="s">
        <v>77</v>
      </c>
      <c r="D46" s="15">
        <f>D41</f>
        <v>39.895013123359583</v>
      </c>
      <c r="E46" s="15">
        <v>9</v>
      </c>
      <c r="F46" s="15">
        <v>0</v>
      </c>
      <c r="G46" s="8" t="s">
        <v>13</v>
      </c>
      <c r="H46" s="41">
        <f>D46*E46/14.51</f>
        <v>24.745356175757152</v>
      </c>
      <c r="I46" s="41">
        <v>370.85</v>
      </c>
      <c r="J46" s="59">
        <f t="shared" si="2"/>
        <v>9176.8153377795406</v>
      </c>
      <c r="K46" s="19" t="s">
        <v>75</v>
      </c>
    </row>
    <row r="47" spans="2:11" ht="58.5">
      <c r="B47" s="8">
        <v>15</v>
      </c>
      <c r="C47" s="12" t="s">
        <v>79</v>
      </c>
      <c r="D47" s="15">
        <f>D46</f>
        <v>39.895013123359583</v>
      </c>
      <c r="E47" s="15">
        <v>9</v>
      </c>
      <c r="F47" s="15">
        <v>0</v>
      </c>
      <c r="G47" s="8" t="s">
        <v>13</v>
      </c>
      <c r="H47" s="41">
        <f>D47*E47/14.51</f>
        <v>24.745356175757152</v>
      </c>
      <c r="I47" s="41">
        <v>113.85</v>
      </c>
      <c r="J47" s="59">
        <f t="shared" si="2"/>
        <v>2817.2588006099518</v>
      </c>
      <c r="K47" s="19" t="s">
        <v>75</v>
      </c>
    </row>
    <row r="48" spans="2:11" ht="72">
      <c r="B48" s="8">
        <v>16</v>
      </c>
      <c r="C48" s="12" t="s">
        <v>80</v>
      </c>
      <c r="D48" s="15">
        <f>(67+11)/3.81</f>
        <v>20.472440944881889</v>
      </c>
      <c r="E48" s="15">
        <v>1</v>
      </c>
      <c r="F48" s="15">
        <v>0</v>
      </c>
      <c r="G48" s="8" t="s">
        <v>13</v>
      </c>
      <c r="H48" s="41">
        <f>D48*E48</f>
        <v>20.472440944881889</v>
      </c>
      <c r="I48" s="41">
        <v>681.65</v>
      </c>
      <c r="J48" s="59">
        <f t="shared" si="2"/>
        <v>13955.039370078739</v>
      </c>
      <c r="K48" s="19" t="s">
        <v>53</v>
      </c>
    </row>
    <row r="49" spans="2:11" ht="144" thickBot="1">
      <c r="B49" s="17">
        <v>16</v>
      </c>
      <c r="C49" s="36" t="s">
        <v>84</v>
      </c>
      <c r="D49" s="39">
        <f>40.8</f>
        <v>40.799999999999997</v>
      </c>
      <c r="E49" s="39">
        <v>5</v>
      </c>
      <c r="F49" s="39">
        <v>0</v>
      </c>
      <c r="G49" s="17" t="s">
        <v>10</v>
      </c>
      <c r="H49" s="42">
        <f>D49*E49/14.51</f>
        <v>14.059269469331495</v>
      </c>
      <c r="I49" s="42">
        <v>516.6</v>
      </c>
      <c r="J49" s="60">
        <f t="shared" si="2"/>
        <v>7263.0186078566503</v>
      </c>
      <c r="K49" s="19" t="s">
        <v>54</v>
      </c>
    </row>
    <row r="50" spans="2:11" ht="16.5" thickBot="1">
      <c r="B50" s="172" t="s">
        <v>104</v>
      </c>
      <c r="C50" s="173"/>
      <c r="D50" s="173"/>
      <c r="E50" s="173"/>
      <c r="F50" s="173"/>
      <c r="G50" s="173"/>
      <c r="H50" s="173"/>
      <c r="I50" s="173"/>
      <c r="J50" s="63">
        <f>SUM(J40:J49)</f>
        <v>242505.40575926451</v>
      </c>
      <c r="K50" s="34"/>
    </row>
    <row r="51" spans="2:11" ht="15.75">
      <c r="B51" s="48"/>
      <c r="C51" s="49"/>
      <c r="D51" s="49"/>
      <c r="E51" s="49"/>
      <c r="F51" s="49"/>
      <c r="G51" s="49"/>
      <c r="H51" s="49"/>
      <c r="I51" s="49"/>
      <c r="J51" s="62"/>
      <c r="K51" s="34"/>
    </row>
    <row r="52" spans="2:11" ht="18">
      <c r="B52" s="177" t="s">
        <v>92</v>
      </c>
      <c r="C52" s="178"/>
      <c r="D52" s="178"/>
      <c r="E52" s="178"/>
      <c r="F52" s="178"/>
      <c r="G52" s="178"/>
      <c r="H52" s="178"/>
      <c r="I52" s="178"/>
      <c r="J52" s="178"/>
      <c r="K52" s="176"/>
    </row>
    <row r="53" spans="2:11" ht="28.5">
      <c r="B53" s="8">
        <v>17</v>
      </c>
      <c r="C53" s="12" t="s">
        <v>20</v>
      </c>
      <c r="D53" s="15">
        <f>78/3.281</f>
        <v>23.773239865894542</v>
      </c>
      <c r="E53" s="15">
        <f>9/39.37</f>
        <v>0.2286004572009144</v>
      </c>
      <c r="F53" s="15">
        <v>1</v>
      </c>
      <c r="G53" s="8" t="s">
        <v>9</v>
      </c>
      <c r="H53" s="41">
        <f>(D53*E53*F53)</f>
        <v>5.4345735024904975</v>
      </c>
      <c r="I53" s="41">
        <v>6882</v>
      </c>
      <c r="J53" s="59">
        <f t="shared" si="2"/>
        <v>37400.734844139603</v>
      </c>
      <c r="K53" s="19" t="s">
        <v>55</v>
      </c>
    </row>
    <row r="54" spans="2:11" ht="43.5">
      <c r="B54" s="8">
        <v>18</v>
      </c>
      <c r="C54" s="12" t="s">
        <v>51</v>
      </c>
      <c r="D54" s="15">
        <f>67+11+67+11</f>
        <v>156</v>
      </c>
      <c r="E54" s="15">
        <f>9/12</f>
        <v>0.75</v>
      </c>
      <c r="F54" s="15">
        <v>11</v>
      </c>
      <c r="G54" s="8" t="s">
        <v>9</v>
      </c>
      <c r="H54" s="41">
        <f t="shared" ref="H54:H55" si="9">(D54*E54*F54)/35.32</f>
        <v>36.438278595696488</v>
      </c>
      <c r="I54" s="41">
        <v>8512.1</v>
      </c>
      <c r="J54" s="59">
        <f t="shared" si="2"/>
        <v>310166.2712344281</v>
      </c>
      <c r="K54" s="19" t="s">
        <v>56</v>
      </c>
    </row>
    <row r="55" spans="2:11" ht="43.5">
      <c r="B55" s="8">
        <v>19</v>
      </c>
      <c r="C55" s="12" t="s">
        <v>50</v>
      </c>
      <c r="D55" s="15">
        <f>16.5+16.5+(4*4)+(4*4)</f>
        <v>65</v>
      </c>
      <c r="E55" s="15">
        <f>4.5/12</f>
        <v>0.375</v>
      </c>
      <c r="F55" s="15">
        <v>7</v>
      </c>
      <c r="G55" s="8" t="s">
        <v>9</v>
      </c>
      <c r="H55" s="41">
        <f t="shared" si="9"/>
        <v>4.8308323895809737</v>
      </c>
      <c r="I55" s="41">
        <v>8512.1</v>
      </c>
      <c r="J55" s="59">
        <f t="shared" si="2"/>
        <v>41120.528383352212</v>
      </c>
      <c r="K55" s="19" t="s">
        <v>57</v>
      </c>
    </row>
    <row r="56" spans="2:11" ht="28.5">
      <c r="B56" s="8">
        <v>20</v>
      </c>
      <c r="C56" s="20" t="s">
        <v>22</v>
      </c>
      <c r="D56" s="15">
        <f>66+10+10+66</f>
        <v>152</v>
      </c>
      <c r="E56" s="15">
        <v>0</v>
      </c>
      <c r="F56" s="15">
        <v>11</v>
      </c>
      <c r="G56" s="8" t="s">
        <v>13</v>
      </c>
      <c r="H56" s="41">
        <f>(D56*F56)/14.51</f>
        <v>115.23087525844245</v>
      </c>
      <c r="I56" s="41">
        <v>294.85000000000002</v>
      </c>
      <c r="J56" s="59">
        <f t="shared" si="2"/>
        <v>33975.823569951761</v>
      </c>
      <c r="K56" s="19" t="s">
        <v>58</v>
      </c>
    </row>
    <row r="57" spans="2:11" ht="28.5">
      <c r="B57" s="8">
        <v>21</v>
      </c>
      <c r="C57" s="21" t="s">
        <v>21</v>
      </c>
      <c r="D57" s="15">
        <v>67</v>
      </c>
      <c r="E57" s="15">
        <v>0</v>
      </c>
      <c r="F57" s="15">
        <v>11</v>
      </c>
      <c r="G57" s="8" t="s">
        <v>13</v>
      </c>
      <c r="H57" s="41">
        <f>(D57*F57)/14.51</f>
        <v>50.792556857339768</v>
      </c>
      <c r="I57" s="41">
        <v>339.7</v>
      </c>
      <c r="J57" s="59">
        <f t="shared" si="2"/>
        <v>17254.23156443832</v>
      </c>
      <c r="K57" s="19" t="s">
        <v>58</v>
      </c>
    </row>
    <row r="58" spans="2:11" ht="29.25">
      <c r="B58" s="17">
        <v>22</v>
      </c>
      <c r="C58" s="12" t="s">
        <v>60</v>
      </c>
      <c r="D58" s="15">
        <f>66+9.7+66+9.7</f>
        <v>151.39999999999998</v>
      </c>
      <c r="E58" s="15">
        <f>$E$56</f>
        <v>0</v>
      </c>
      <c r="F58" s="15">
        <f>$F$56</f>
        <v>11</v>
      </c>
      <c r="G58" s="8" t="s">
        <v>13</v>
      </c>
      <c r="H58" s="41">
        <f t="shared" ref="H58:H60" si="10">(D58*F58)/14.51</f>
        <v>114.776016540317</v>
      </c>
      <c r="I58" s="41">
        <v>64.45</v>
      </c>
      <c r="J58" s="59">
        <f t="shared" si="2"/>
        <v>7397.3142660234307</v>
      </c>
      <c r="K58" s="8" t="s">
        <v>11</v>
      </c>
    </row>
    <row r="59" spans="2:11" ht="43.5">
      <c r="B59" s="17">
        <v>23</v>
      </c>
      <c r="C59" s="12" t="s">
        <v>59</v>
      </c>
      <c r="D59" s="15">
        <f>D58</f>
        <v>151.39999999999998</v>
      </c>
      <c r="E59" s="15">
        <f t="shared" ref="E59:E60" si="11">$E$56</f>
        <v>0</v>
      </c>
      <c r="F59" s="15">
        <f>$F$56</f>
        <v>11</v>
      </c>
      <c r="G59" s="8" t="s">
        <v>13</v>
      </c>
      <c r="H59" s="41">
        <f t="shared" si="10"/>
        <v>114.776016540317</v>
      </c>
      <c r="I59" s="41">
        <v>123.85</v>
      </c>
      <c r="J59" s="59">
        <f t="shared" si="2"/>
        <v>14215.00964851826</v>
      </c>
      <c r="K59" s="8" t="s">
        <v>11</v>
      </c>
    </row>
    <row r="60" spans="2:11" ht="58.5" thickBot="1">
      <c r="B60" s="17">
        <v>24</v>
      </c>
      <c r="C60" s="36" t="s">
        <v>61</v>
      </c>
      <c r="D60" s="39">
        <f>D59</f>
        <v>151.39999999999998</v>
      </c>
      <c r="E60" s="39">
        <f t="shared" si="11"/>
        <v>0</v>
      </c>
      <c r="F60" s="39">
        <f>F59</f>
        <v>11</v>
      </c>
      <c r="G60" s="17" t="s">
        <v>13</v>
      </c>
      <c r="H60" s="42">
        <f t="shared" si="10"/>
        <v>114.776016540317</v>
      </c>
      <c r="I60" s="42">
        <v>121.55</v>
      </c>
      <c r="J60" s="60">
        <f t="shared" si="2"/>
        <v>13951.024810475532</v>
      </c>
      <c r="K60" s="8" t="s">
        <v>11</v>
      </c>
    </row>
    <row r="61" spans="2:11" ht="16.5" thickBot="1">
      <c r="B61" s="172" t="s">
        <v>98</v>
      </c>
      <c r="C61" s="173"/>
      <c r="D61" s="173"/>
      <c r="E61" s="173"/>
      <c r="F61" s="173"/>
      <c r="G61" s="173"/>
      <c r="H61" s="173"/>
      <c r="I61" s="173"/>
      <c r="J61" s="63">
        <f>SUM(J53:K60)</f>
        <v>475480.93832132727</v>
      </c>
      <c r="K61" s="33"/>
    </row>
    <row r="62" spans="2:11" ht="15.75">
      <c r="B62" s="48"/>
      <c r="C62" s="49"/>
      <c r="D62" s="49"/>
      <c r="E62" s="49"/>
      <c r="F62" s="49"/>
      <c r="G62" s="49"/>
      <c r="H62" s="49"/>
      <c r="I62" s="49"/>
      <c r="J62" s="62"/>
      <c r="K62" s="33"/>
    </row>
    <row r="63" spans="2:11" s="6" customFormat="1" ht="18">
      <c r="B63" s="177" t="s">
        <v>91</v>
      </c>
      <c r="C63" s="178"/>
      <c r="D63" s="178"/>
      <c r="E63" s="178"/>
      <c r="F63" s="178"/>
      <c r="G63" s="178"/>
      <c r="H63" s="178"/>
      <c r="I63" s="178"/>
      <c r="J63" s="178"/>
      <c r="K63" s="176"/>
    </row>
    <row r="64" spans="2:11" ht="27.6" customHeight="1">
      <c r="B64" s="8">
        <v>25</v>
      </c>
      <c r="C64" s="16" t="s">
        <v>31</v>
      </c>
      <c r="D64" s="40" t="s">
        <v>11</v>
      </c>
      <c r="E64" s="40" t="s">
        <v>11</v>
      </c>
      <c r="F64" s="40" t="s">
        <v>11</v>
      </c>
      <c r="G64" s="40" t="s">
        <v>11</v>
      </c>
      <c r="H64" s="40" t="s">
        <v>11</v>
      </c>
      <c r="I64" s="40" t="s">
        <v>11</v>
      </c>
      <c r="J64" s="40" t="s">
        <v>11</v>
      </c>
      <c r="K64" s="8" t="s">
        <v>66</v>
      </c>
    </row>
    <row r="65" spans="2:11">
      <c r="B65" s="8">
        <v>25.1</v>
      </c>
      <c r="C65" s="11" t="s">
        <v>32</v>
      </c>
      <c r="D65" s="40" t="s">
        <v>11</v>
      </c>
      <c r="E65" s="40" t="s">
        <v>11</v>
      </c>
      <c r="F65" s="40" t="s">
        <v>11</v>
      </c>
      <c r="G65" s="8" t="s">
        <v>26</v>
      </c>
      <c r="H65" s="41">
        <v>2</v>
      </c>
      <c r="I65" s="41">
        <v>104.35</v>
      </c>
      <c r="J65" s="59">
        <f t="shared" si="2"/>
        <v>208.7</v>
      </c>
      <c r="K65" s="8" t="s">
        <v>11</v>
      </c>
    </row>
    <row r="66" spans="2:11">
      <c r="B66" s="8">
        <v>26</v>
      </c>
      <c r="C66" s="12" t="s">
        <v>216</v>
      </c>
      <c r="D66" s="15">
        <f>SUM(D67:D70)</f>
        <v>43</v>
      </c>
      <c r="E66" s="15" t="s">
        <v>11</v>
      </c>
      <c r="F66" s="15" t="s">
        <v>11</v>
      </c>
      <c r="G66" s="8" t="s">
        <v>14</v>
      </c>
      <c r="H66" s="41" t="s">
        <v>11</v>
      </c>
      <c r="I66" s="41" t="s">
        <v>11</v>
      </c>
      <c r="J66" s="59" t="s">
        <v>11</v>
      </c>
      <c r="K66" s="8"/>
    </row>
    <row r="67" spans="2:11">
      <c r="B67" s="8">
        <v>26.1</v>
      </c>
      <c r="C67" s="12" t="s">
        <v>213</v>
      </c>
      <c r="D67" s="15">
        <v>3</v>
      </c>
      <c r="E67" s="15" t="s">
        <v>11</v>
      </c>
      <c r="F67" s="15" t="s">
        <v>11</v>
      </c>
      <c r="G67" s="15" t="s">
        <v>14</v>
      </c>
      <c r="H67" s="41">
        <f t="shared" ref="H67:H68" si="12">D67</f>
        <v>3</v>
      </c>
      <c r="I67" s="41">
        <v>674.35</v>
      </c>
      <c r="J67" s="59">
        <f t="shared" ref="J67:J68" si="13">I67*H67</f>
        <v>2023.0500000000002</v>
      </c>
      <c r="K67" s="59">
        <f>J67*I67</f>
        <v>1364243.7675000001</v>
      </c>
    </row>
    <row r="68" spans="2:11">
      <c r="B68" s="8">
        <v>26.2</v>
      </c>
      <c r="C68" s="12" t="s">
        <v>214</v>
      </c>
      <c r="D68" s="15">
        <v>17</v>
      </c>
      <c r="E68" s="15" t="s">
        <v>11</v>
      </c>
      <c r="F68" s="15" t="s">
        <v>11</v>
      </c>
      <c r="G68" s="15" t="s">
        <v>14</v>
      </c>
      <c r="H68" s="41">
        <f t="shared" si="12"/>
        <v>17</v>
      </c>
      <c r="I68" s="41">
        <v>927</v>
      </c>
      <c r="J68" s="59">
        <f t="shared" si="13"/>
        <v>15759</v>
      </c>
      <c r="K68" s="8"/>
    </row>
    <row r="69" spans="2:11">
      <c r="B69" s="8">
        <v>26.3</v>
      </c>
      <c r="C69" s="12" t="s">
        <v>211</v>
      </c>
      <c r="D69" s="15">
        <v>19</v>
      </c>
      <c r="E69" s="15" t="s">
        <v>11</v>
      </c>
      <c r="F69" s="15" t="s">
        <v>11</v>
      </c>
      <c r="G69" s="8" t="s">
        <v>14</v>
      </c>
      <c r="H69" s="41">
        <f>D69</f>
        <v>19</v>
      </c>
      <c r="I69" s="41">
        <v>1018.05</v>
      </c>
      <c r="J69" s="59">
        <f>I69*H69</f>
        <v>19342.95</v>
      </c>
      <c r="K69" s="8"/>
    </row>
    <row r="70" spans="2:11">
      <c r="B70" s="8">
        <v>26.4</v>
      </c>
      <c r="C70" s="12" t="s">
        <v>212</v>
      </c>
      <c r="D70" s="15">
        <v>4</v>
      </c>
      <c r="E70" s="15" t="s">
        <v>11</v>
      </c>
      <c r="F70" s="15" t="s">
        <v>11</v>
      </c>
      <c r="G70" s="8" t="s">
        <v>14</v>
      </c>
      <c r="H70" s="41">
        <f>D70</f>
        <v>4</v>
      </c>
      <c r="I70" s="41">
        <v>1018.05</v>
      </c>
      <c r="J70" s="59">
        <f t="shared" si="2"/>
        <v>4072.2</v>
      </c>
      <c r="K70" s="8" t="s">
        <v>11</v>
      </c>
    </row>
    <row r="71" spans="2:11" ht="57">
      <c r="B71" s="8">
        <v>27</v>
      </c>
      <c r="C71" s="13" t="s">
        <v>68</v>
      </c>
      <c r="D71" s="15" t="s">
        <v>11</v>
      </c>
      <c r="E71" s="15" t="s">
        <v>11</v>
      </c>
      <c r="F71" s="15" t="s">
        <v>11</v>
      </c>
      <c r="G71" s="8" t="s">
        <v>11</v>
      </c>
      <c r="H71" s="41" t="s">
        <v>11</v>
      </c>
      <c r="I71" s="41" t="s">
        <v>11</v>
      </c>
      <c r="J71" s="59" t="s">
        <v>11</v>
      </c>
      <c r="K71" s="11"/>
    </row>
    <row r="72" spans="2:11" ht="15.75" thickBot="1">
      <c r="B72" s="8">
        <v>28</v>
      </c>
      <c r="C72" s="22" t="s">
        <v>70</v>
      </c>
      <c r="D72" s="15">
        <v>54</v>
      </c>
      <c r="E72" s="15" t="s">
        <v>11</v>
      </c>
      <c r="F72" s="15" t="s">
        <v>11</v>
      </c>
      <c r="G72" s="8" t="s">
        <v>14</v>
      </c>
      <c r="H72" s="41">
        <f>D72</f>
        <v>54</v>
      </c>
      <c r="I72" s="41">
        <v>441.15</v>
      </c>
      <c r="J72" s="59">
        <f>H72*I72</f>
        <v>23822.1</v>
      </c>
      <c r="K72" s="8"/>
    </row>
    <row r="73" spans="2:11" s="6" customFormat="1" ht="16.5" thickBot="1">
      <c r="B73" s="172" t="s">
        <v>99</v>
      </c>
      <c r="C73" s="173"/>
      <c r="D73" s="173"/>
      <c r="E73" s="173"/>
      <c r="F73" s="173"/>
      <c r="G73" s="173"/>
      <c r="H73" s="173"/>
      <c r="I73" s="173"/>
      <c r="J73" s="64">
        <f>SUM(J64:J72)</f>
        <v>65227.999999999993</v>
      </c>
      <c r="K73" s="8"/>
    </row>
    <row r="74" spans="2:11" s="6" customFormat="1" ht="15.75">
      <c r="B74" s="48"/>
      <c r="C74" s="49"/>
      <c r="D74" s="49"/>
      <c r="E74" s="49"/>
      <c r="F74" s="49"/>
      <c r="G74" s="49"/>
      <c r="H74" s="49"/>
      <c r="I74" s="49"/>
      <c r="J74" s="65"/>
      <c r="K74" s="8"/>
    </row>
    <row r="75" spans="2:11" s="6" customFormat="1" ht="18">
      <c r="B75" s="177" t="s">
        <v>93</v>
      </c>
      <c r="C75" s="178"/>
      <c r="D75" s="178"/>
      <c r="E75" s="178"/>
      <c r="F75" s="178"/>
      <c r="G75" s="178"/>
      <c r="H75" s="178"/>
      <c r="I75" s="178"/>
      <c r="J75" s="179"/>
      <c r="K75" s="8"/>
    </row>
    <row r="76" spans="2:11" ht="228">
      <c r="B76" s="17">
        <v>29</v>
      </c>
      <c r="C76" s="12" t="s">
        <v>221</v>
      </c>
      <c r="D76" s="15">
        <v>66</v>
      </c>
      <c r="E76" s="15">
        <v>9.6999999999999993</v>
      </c>
      <c r="F76" s="15">
        <v>0</v>
      </c>
      <c r="G76" s="8" t="s">
        <v>13</v>
      </c>
      <c r="H76" s="41">
        <f>(D76*E76)/14.51</f>
        <v>44.12129565816678</v>
      </c>
      <c r="I76" s="41">
        <v>1690.45</v>
      </c>
      <c r="J76" s="59">
        <f t="shared" ref="J76:J79" si="14">H76*I76</f>
        <v>74584.844245348038</v>
      </c>
      <c r="K76" s="8" t="s">
        <v>11</v>
      </c>
    </row>
    <row r="77" spans="2:11" s="6" customFormat="1">
      <c r="B77" s="8">
        <v>30</v>
      </c>
      <c r="C77" s="11" t="s">
        <v>29</v>
      </c>
      <c r="D77" s="15" t="s">
        <v>11</v>
      </c>
      <c r="E77" s="15" t="s">
        <v>11</v>
      </c>
      <c r="F77" s="15" t="s">
        <v>11</v>
      </c>
      <c r="G77" s="8" t="s">
        <v>11</v>
      </c>
      <c r="H77" s="41" t="s">
        <v>11</v>
      </c>
      <c r="I77" s="41" t="s">
        <v>11</v>
      </c>
      <c r="J77" s="59" t="s">
        <v>11</v>
      </c>
      <c r="K77" s="8" t="s">
        <v>11</v>
      </c>
    </row>
    <row r="78" spans="2:11" s="6" customFormat="1">
      <c r="B78" s="8">
        <v>30.2</v>
      </c>
      <c r="C78" s="11" t="s">
        <v>30</v>
      </c>
      <c r="D78" s="15" t="s">
        <v>11</v>
      </c>
      <c r="E78" s="15" t="s">
        <v>11</v>
      </c>
      <c r="F78" s="15" t="s">
        <v>11</v>
      </c>
      <c r="G78" s="8" t="s">
        <v>26</v>
      </c>
      <c r="H78" s="41">
        <v>14</v>
      </c>
      <c r="I78" s="41">
        <v>16490</v>
      </c>
      <c r="J78" s="59">
        <f t="shared" si="14"/>
        <v>230860</v>
      </c>
      <c r="K78" s="8" t="s">
        <v>11</v>
      </c>
    </row>
    <row r="79" spans="2:11" s="6" customFormat="1">
      <c r="B79" s="8">
        <v>30.3</v>
      </c>
      <c r="C79" s="11" t="s">
        <v>28</v>
      </c>
      <c r="D79" s="15" t="s">
        <v>11</v>
      </c>
      <c r="E79" s="15" t="s">
        <v>11</v>
      </c>
      <c r="F79" s="15" t="s">
        <v>11</v>
      </c>
      <c r="G79" s="8" t="s">
        <v>26</v>
      </c>
      <c r="H79" s="41">
        <v>7</v>
      </c>
      <c r="I79" s="41">
        <v>5300</v>
      </c>
      <c r="J79" s="59">
        <f t="shared" si="14"/>
        <v>37100</v>
      </c>
      <c r="K79" s="8" t="s">
        <v>11</v>
      </c>
    </row>
    <row r="80" spans="2:11" s="6" customFormat="1">
      <c r="B80" s="158">
        <v>30.4</v>
      </c>
      <c r="C80" s="37" t="s">
        <v>34</v>
      </c>
      <c r="D80" s="15" t="s">
        <v>11</v>
      </c>
      <c r="E80" s="15" t="s">
        <v>11</v>
      </c>
      <c r="F80" s="15" t="s">
        <v>11</v>
      </c>
      <c r="G80" s="158" t="s">
        <v>26</v>
      </c>
      <c r="H80" s="42">
        <v>7</v>
      </c>
      <c r="I80" s="42">
        <v>800</v>
      </c>
      <c r="J80" s="60">
        <f t="shared" ref="J80:J81" si="15">H80*I80</f>
        <v>5600</v>
      </c>
      <c r="K80" s="8"/>
    </row>
    <row r="81" spans="2:11" s="6" customFormat="1" ht="15" thickBot="1">
      <c r="B81" s="158">
        <v>30.5</v>
      </c>
      <c r="C81" s="37" t="s">
        <v>222</v>
      </c>
      <c r="D81" s="15" t="s">
        <v>11</v>
      </c>
      <c r="E81" s="15" t="s">
        <v>11</v>
      </c>
      <c r="F81" s="15" t="s">
        <v>11</v>
      </c>
      <c r="G81" s="158" t="s">
        <v>26</v>
      </c>
      <c r="H81" s="42">
        <v>2</v>
      </c>
      <c r="I81" s="42">
        <v>11200</v>
      </c>
      <c r="J81" s="60">
        <f t="shared" si="15"/>
        <v>22400</v>
      </c>
      <c r="K81" s="8"/>
    </row>
    <row r="82" spans="2:11" s="6" customFormat="1" ht="16.5" thickBot="1">
      <c r="B82" s="172" t="s">
        <v>100</v>
      </c>
      <c r="C82" s="173"/>
      <c r="D82" s="173"/>
      <c r="E82" s="173"/>
      <c r="F82" s="173"/>
      <c r="G82" s="173"/>
      <c r="H82" s="173"/>
      <c r="I82" s="173"/>
      <c r="J82" s="64">
        <f>SUM(J76:J81)</f>
        <v>370544.84424534801</v>
      </c>
      <c r="K82" s="32"/>
    </row>
    <row r="83" spans="2:11" s="6" customFormat="1" ht="16.5" thickBot="1">
      <c r="B83" s="38"/>
      <c r="C83" s="38"/>
      <c r="D83" s="38"/>
      <c r="E83" s="38"/>
      <c r="F83" s="38"/>
      <c r="G83" s="38"/>
      <c r="H83" s="38"/>
      <c r="I83" s="38"/>
      <c r="J83" s="67"/>
      <c r="K83" s="32"/>
    </row>
    <row r="84" spans="2:11" s="2" customFormat="1" ht="18.75" thickBot="1">
      <c r="B84" s="165" t="s">
        <v>101</v>
      </c>
      <c r="C84" s="165"/>
      <c r="D84" s="165"/>
      <c r="E84" s="165"/>
      <c r="F84" s="165"/>
      <c r="G84" s="165"/>
      <c r="H84" s="165"/>
      <c r="I84" s="165"/>
      <c r="J84" s="68">
        <f>J13+J32+J37+J50+J61+J73+J82</f>
        <v>1676427.4784765723</v>
      </c>
    </row>
    <row r="85" spans="2:11" ht="18.75" thickBot="1">
      <c r="B85" s="186"/>
      <c r="C85" s="186"/>
      <c r="D85" s="186"/>
      <c r="E85" s="186"/>
      <c r="F85" s="186"/>
      <c r="G85" s="186"/>
      <c r="H85" s="186"/>
      <c r="I85" s="186"/>
      <c r="J85" s="69"/>
    </row>
    <row r="89" spans="2:11">
      <c r="J89" s="70"/>
    </row>
  </sheetData>
  <mergeCells count="21">
    <mergeCell ref="B82:I82"/>
    <mergeCell ref="B84:I84"/>
    <mergeCell ref="B85:I85"/>
    <mergeCell ref="B75:J75"/>
    <mergeCell ref="B2:C2"/>
    <mergeCell ref="B13:I13"/>
    <mergeCell ref="B32:I32"/>
    <mergeCell ref="B37:I37"/>
    <mergeCell ref="B50:I50"/>
    <mergeCell ref="B73:I73"/>
    <mergeCell ref="B61:I61"/>
    <mergeCell ref="B6:K6"/>
    <mergeCell ref="B15:K15"/>
    <mergeCell ref="B34:K34"/>
    <mergeCell ref="B52:K52"/>
    <mergeCell ref="B63:K63"/>
    <mergeCell ref="B39:J39"/>
    <mergeCell ref="B17:B23"/>
    <mergeCell ref="C20:C22"/>
    <mergeCell ref="C27:C29"/>
    <mergeCell ref="B27:B29"/>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66"/>
  <sheetViews>
    <sheetView zoomScale="70" zoomScaleNormal="70" workbookViewId="0">
      <pane ySplit="4" topLeftCell="A20" activePane="bottomLeft" state="frozen"/>
      <selection pane="bottomLeft"/>
    </sheetView>
  </sheetViews>
  <sheetFormatPr defaultColWidth="8.85546875" defaultRowHeight="14.25"/>
  <cols>
    <col min="1" max="1" width="2" style="1" customWidth="1"/>
    <col min="2" max="2" width="11.28515625" style="3" bestFit="1" customWidth="1"/>
    <col min="3" max="3" width="130.7109375" style="1" customWidth="1"/>
    <col min="4" max="4" width="10.7109375" style="1" bestFit="1" customWidth="1"/>
    <col min="5" max="5" width="9.140625" style="1" bestFit="1" customWidth="1"/>
    <col min="6" max="6" width="10.140625" style="1" bestFit="1" customWidth="1"/>
    <col min="7" max="7" width="21" style="3" bestFit="1" customWidth="1"/>
    <col min="8" max="8" width="11.7109375" style="1" bestFit="1" customWidth="1"/>
    <col min="9" max="9" width="11.140625" style="4" bestFit="1" customWidth="1"/>
    <col min="10" max="10" width="15.42578125" style="56" bestFit="1" customWidth="1"/>
    <col min="11" max="11" width="31.7109375" style="1" hidden="1" customWidth="1"/>
    <col min="12" max="16384" width="8.85546875" style="1"/>
  </cols>
  <sheetData>
    <row r="2" spans="2:11" ht="20.25">
      <c r="B2" s="171" t="s">
        <v>87</v>
      </c>
      <c r="C2" s="171"/>
    </row>
    <row r="4" spans="2:11" s="2" customFormat="1" ht="18">
      <c r="B4" s="45" t="s">
        <v>35</v>
      </c>
      <c r="C4" s="46" t="s">
        <v>0</v>
      </c>
      <c r="D4" s="47" t="s">
        <v>42</v>
      </c>
      <c r="E4" s="47" t="s">
        <v>43</v>
      </c>
      <c r="F4" s="47" t="s">
        <v>44</v>
      </c>
      <c r="G4" s="45" t="s">
        <v>69</v>
      </c>
      <c r="H4" s="47" t="s">
        <v>4</v>
      </c>
      <c r="I4" s="45" t="s">
        <v>5</v>
      </c>
      <c r="J4" s="57" t="s">
        <v>6</v>
      </c>
      <c r="K4" s="14" t="s">
        <v>7</v>
      </c>
    </row>
    <row r="5" spans="2:11" s="2" customFormat="1" ht="15">
      <c r="B5" s="24"/>
      <c r="C5" s="26"/>
      <c r="D5" s="27"/>
      <c r="E5" s="27"/>
      <c r="F5" s="27"/>
      <c r="G5" s="24"/>
      <c r="H5" s="27"/>
      <c r="I5" s="25"/>
      <c r="J5" s="25"/>
      <c r="K5" s="27"/>
    </row>
    <row r="6" spans="2:11" s="2" customFormat="1" ht="18">
      <c r="B6" s="177" t="s">
        <v>88</v>
      </c>
      <c r="C6" s="178"/>
      <c r="D6" s="178"/>
      <c r="E6" s="178"/>
      <c r="F6" s="178"/>
      <c r="G6" s="178"/>
      <c r="H6" s="178"/>
      <c r="I6" s="178"/>
      <c r="J6" s="178"/>
      <c r="K6" s="176"/>
    </row>
    <row r="7" spans="2:11" ht="57.75">
      <c r="B7" s="8">
        <v>1</v>
      </c>
      <c r="C7" s="12" t="s">
        <v>83</v>
      </c>
      <c r="D7" s="15">
        <f>SUM(D8:D11)</f>
        <v>47</v>
      </c>
      <c r="E7" s="8" t="s">
        <v>11</v>
      </c>
      <c r="F7" s="8" t="s">
        <v>11</v>
      </c>
      <c r="G7" s="8" t="s">
        <v>11</v>
      </c>
      <c r="H7" s="8" t="s">
        <v>11</v>
      </c>
      <c r="I7" s="8" t="s">
        <v>11</v>
      </c>
      <c r="J7" s="8" t="s">
        <v>11</v>
      </c>
      <c r="K7" s="8"/>
    </row>
    <row r="8" spans="2:11">
      <c r="B8" s="8">
        <v>1.1000000000000001</v>
      </c>
      <c r="C8" s="12" t="s">
        <v>210</v>
      </c>
      <c r="D8" s="39">
        <v>2</v>
      </c>
      <c r="E8" s="15" t="s">
        <v>11</v>
      </c>
      <c r="F8" s="15" t="s">
        <v>11</v>
      </c>
      <c r="G8" s="72" t="s">
        <v>14</v>
      </c>
      <c r="H8" s="42">
        <f t="shared" ref="H8:H11" si="0">D8</f>
        <v>2</v>
      </c>
      <c r="I8" s="42">
        <v>255.55</v>
      </c>
      <c r="J8" s="60">
        <f t="shared" ref="J8:J11" si="1">H8*I8</f>
        <v>511.1</v>
      </c>
      <c r="K8" s="8"/>
    </row>
    <row r="9" spans="2:11">
      <c r="B9" s="8">
        <v>1.2</v>
      </c>
      <c r="C9" s="12" t="s">
        <v>207</v>
      </c>
      <c r="D9" s="39">
        <v>31</v>
      </c>
      <c r="E9" s="15" t="s">
        <v>11</v>
      </c>
      <c r="F9" s="15" t="s">
        <v>11</v>
      </c>
      <c r="G9" s="72" t="s">
        <v>14</v>
      </c>
      <c r="H9" s="42">
        <f t="shared" si="0"/>
        <v>31</v>
      </c>
      <c r="I9" s="42">
        <v>255.55</v>
      </c>
      <c r="J9" s="60">
        <f t="shared" si="1"/>
        <v>7922.05</v>
      </c>
      <c r="K9" s="8"/>
    </row>
    <row r="10" spans="2:11">
      <c r="B10" s="8">
        <v>1.3</v>
      </c>
      <c r="C10" s="12" t="s">
        <v>208</v>
      </c>
      <c r="D10" s="39">
        <v>13</v>
      </c>
      <c r="E10" s="15" t="s">
        <v>11</v>
      </c>
      <c r="F10" s="15" t="s">
        <v>11</v>
      </c>
      <c r="G10" s="72" t="s">
        <v>14</v>
      </c>
      <c r="H10" s="42">
        <f t="shared" si="0"/>
        <v>13</v>
      </c>
      <c r="I10" s="42">
        <v>417.35</v>
      </c>
      <c r="J10" s="60">
        <f t="shared" si="1"/>
        <v>5425.55</v>
      </c>
      <c r="K10" s="8"/>
    </row>
    <row r="11" spans="2:11" ht="15" thickBot="1">
      <c r="B11" s="8">
        <v>1.4</v>
      </c>
      <c r="C11" s="12" t="s">
        <v>209</v>
      </c>
      <c r="D11" s="39">
        <v>1</v>
      </c>
      <c r="E11" s="15" t="s">
        <v>11</v>
      </c>
      <c r="F11" s="15" t="s">
        <v>11</v>
      </c>
      <c r="G11" s="72" t="s">
        <v>14</v>
      </c>
      <c r="H11" s="42">
        <f t="shared" si="0"/>
        <v>1</v>
      </c>
      <c r="I11" s="42">
        <v>417.35</v>
      </c>
      <c r="J11" s="60">
        <f t="shared" si="1"/>
        <v>417.35</v>
      </c>
      <c r="K11" s="8"/>
    </row>
    <row r="12" spans="2:11" ht="16.5" thickBot="1">
      <c r="B12" s="172" t="s">
        <v>107</v>
      </c>
      <c r="C12" s="173"/>
      <c r="D12" s="173"/>
      <c r="E12" s="173"/>
      <c r="F12" s="173"/>
      <c r="G12" s="173"/>
      <c r="H12" s="173"/>
      <c r="I12" s="185"/>
      <c r="J12" s="61">
        <f>SUM(J8:J11)</f>
        <v>14276.050000000001</v>
      </c>
      <c r="K12" s="8"/>
    </row>
    <row r="13" spans="2:11" ht="15.75">
      <c r="B13" s="48"/>
      <c r="C13" s="49"/>
      <c r="D13" s="49"/>
      <c r="E13" s="49"/>
      <c r="F13" s="49"/>
      <c r="G13" s="49"/>
      <c r="H13" s="49"/>
      <c r="I13" s="49"/>
      <c r="J13" s="62"/>
      <c r="K13" s="33"/>
    </row>
    <row r="14" spans="2:11" ht="18">
      <c r="B14" s="177" t="s">
        <v>89</v>
      </c>
      <c r="C14" s="178"/>
      <c r="D14" s="178"/>
      <c r="E14" s="178"/>
      <c r="F14" s="178"/>
      <c r="G14" s="178"/>
      <c r="H14" s="178"/>
      <c r="I14" s="178"/>
      <c r="J14" s="178"/>
      <c r="K14" s="176"/>
    </row>
    <row r="15" spans="2:11" ht="28.5">
      <c r="B15" s="8">
        <v>2</v>
      </c>
      <c r="C15" s="12" t="s">
        <v>19</v>
      </c>
      <c r="D15" s="15">
        <v>27</v>
      </c>
      <c r="E15" s="15">
        <v>9.5</v>
      </c>
      <c r="F15" s="15">
        <v>0</v>
      </c>
      <c r="G15" s="8" t="s">
        <v>13</v>
      </c>
      <c r="H15" s="41">
        <f>D15*E15/14.51</f>
        <v>17.677463818056513</v>
      </c>
      <c r="I15" s="41">
        <v>545</v>
      </c>
      <c r="J15" s="59">
        <f t="shared" ref="J15" si="2">H15*I15</f>
        <v>9634.2177808407996</v>
      </c>
      <c r="K15" s="19" t="s">
        <v>58</v>
      </c>
    </row>
    <row r="16" spans="2:11" ht="30" thickBot="1">
      <c r="B16" s="8">
        <v>3</v>
      </c>
      <c r="C16" s="12" t="s">
        <v>73</v>
      </c>
      <c r="D16" s="41">
        <f>(27+10+27+10)/3.81</f>
        <v>19.42257217847769</v>
      </c>
      <c r="E16" s="41">
        <v>0</v>
      </c>
      <c r="F16" s="41">
        <v>0.3</v>
      </c>
      <c r="G16" s="8" t="s">
        <v>13</v>
      </c>
      <c r="H16" s="41">
        <f>D16*F16</f>
        <v>5.8267716535433065</v>
      </c>
      <c r="I16" s="41">
        <v>570.75</v>
      </c>
      <c r="J16" s="59">
        <f t="shared" ref="J16:J44" si="3">H16*I16</f>
        <v>3325.6299212598424</v>
      </c>
      <c r="K16" s="19" t="s">
        <v>67</v>
      </c>
    </row>
    <row r="17" spans="2:11" ht="16.5" thickBot="1">
      <c r="B17" s="172" t="s">
        <v>96</v>
      </c>
      <c r="C17" s="173"/>
      <c r="D17" s="173"/>
      <c r="E17" s="173"/>
      <c r="F17" s="173"/>
      <c r="G17" s="173"/>
      <c r="H17" s="173"/>
      <c r="I17" s="185"/>
      <c r="J17" s="61">
        <f>J15+J16</f>
        <v>12959.847702100642</v>
      </c>
      <c r="K17" s="19"/>
    </row>
    <row r="18" spans="2:11" ht="15.75">
      <c r="B18" s="48"/>
      <c r="C18" s="49"/>
      <c r="D18" s="49"/>
      <c r="E18" s="49"/>
      <c r="F18" s="49"/>
      <c r="G18" s="49"/>
      <c r="H18" s="49"/>
      <c r="I18" s="49"/>
      <c r="J18" s="62"/>
      <c r="K18" s="34"/>
    </row>
    <row r="19" spans="2:11" ht="18">
      <c r="B19" s="177" t="s">
        <v>90</v>
      </c>
      <c r="C19" s="178"/>
      <c r="D19" s="178"/>
      <c r="E19" s="178"/>
      <c r="F19" s="178"/>
      <c r="G19" s="178"/>
      <c r="H19" s="178"/>
      <c r="I19" s="178"/>
      <c r="J19" s="178"/>
      <c r="K19" s="176"/>
    </row>
    <row r="20" spans="2:11" ht="87" thickBot="1">
      <c r="B20" s="8">
        <v>4</v>
      </c>
      <c r="C20" s="12" t="s">
        <v>86</v>
      </c>
      <c r="D20" s="41">
        <f>D30</f>
        <v>19.42257217847769</v>
      </c>
      <c r="E20" s="41">
        <v>9</v>
      </c>
      <c r="F20" s="41">
        <v>0</v>
      </c>
      <c r="G20" s="8" t="s">
        <v>13</v>
      </c>
      <c r="H20" s="41">
        <f>D20*E20/14.51</f>
        <v>12.047081296092296</v>
      </c>
      <c r="I20" s="41">
        <v>1859.6</v>
      </c>
      <c r="J20" s="59">
        <f>H20*I20</f>
        <v>22402.752378213234</v>
      </c>
      <c r="K20" s="19" t="s">
        <v>76</v>
      </c>
    </row>
    <row r="21" spans="2:11" ht="16.5" thickBot="1">
      <c r="B21" s="172" t="s">
        <v>97</v>
      </c>
      <c r="C21" s="173"/>
      <c r="D21" s="173"/>
      <c r="E21" s="173"/>
      <c r="F21" s="173"/>
      <c r="G21" s="173"/>
      <c r="H21" s="173"/>
      <c r="I21" s="185"/>
      <c r="J21" s="61">
        <f>J20</f>
        <v>22402.752378213234</v>
      </c>
      <c r="K21" s="19"/>
    </row>
    <row r="22" spans="2:11" ht="15.75">
      <c r="B22" s="48"/>
      <c r="C22" s="49"/>
      <c r="D22" s="49"/>
      <c r="E22" s="49"/>
      <c r="F22" s="49"/>
      <c r="G22" s="49"/>
      <c r="H22" s="49"/>
      <c r="I22" s="49"/>
      <c r="J22" s="62"/>
      <c r="K22" s="34"/>
    </row>
    <row r="23" spans="2:11" ht="18">
      <c r="B23" s="177" t="s">
        <v>105</v>
      </c>
      <c r="C23" s="178"/>
      <c r="D23" s="178"/>
      <c r="E23" s="178"/>
      <c r="F23" s="178"/>
      <c r="G23" s="178"/>
      <c r="H23" s="178"/>
      <c r="I23" s="178"/>
      <c r="J23" s="178"/>
      <c r="K23" s="176"/>
    </row>
    <row r="24" spans="2:11" s="190" customFormat="1" ht="28.5">
      <c r="B24" s="191">
        <v>5</v>
      </c>
      <c r="C24" s="189" t="s">
        <v>225</v>
      </c>
      <c r="D24" s="191">
        <v>72.8</v>
      </c>
      <c r="E24" s="191">
        <v>0</v>
      </c>
      <c r="F24" s="191">
        <v>7</v>
      </c>
      <c r="G24" s="191" t="s">
        <v>13</v>
      </c>
      <c r="H24" s="193">
        <f>D24*F24/14.51</f>
        <v>35.120606478290831</v>
      </c>
      <c r="I24" s="191">
        <v>2675.7</v>
      </c>
      <c r="J24" s="194">
        <f>H24*I24</f>
        <v>93972.206753962775</v>
      </c>
      <c r="K24" s="192"/>
    </row>
    <row r="25" spans="2:11" ht="72">
      <c r="B25" s="8">
        <v>6</v>
      </c>
      <c r="C25" s="16" t="s">
        <v>65</v>
      </c>
      <c r="D25" s="43" t="s">
        <v>11</v>
      </c>
      <c r="E25" s="43" t="s">
        <v>11</v>
      </c>
      <c r="F25" s="43" t="s">
        <v>11</v>
      </c>
      <c r="G25" s="43" t="s">
        <v>11</v>
      </c>
      <c r="H25" s="43" t="s">
        <v>11</v>
      </c>
      <c r="I25" s="43" t="s">
        <v>11</v>
      </c>
      <c r="J25" s="43" t="s">
        <v>11</v>
      </c>
      <c r="K25" s="8"/>
    </row>
    <row r="26" spans="2:11">
      <c r="B26" s="8">
        <v>6.1</v>
      </c>
      <c r="C26" s="11" t="s">
        <v>23</v>
      </c>
      <c r="D26" s="41">
        <v>5</v>
      </c>
      <c r="E26" s="41">
        <v>3</v>
      </c>
      <c r="F26" s="41">
        <v>0</v>
      </c>
      <c r="G26" s="8" t="s">
        <v>13</v>
      </c>
      <c r="H26" s="41">
        <f>(D26*E26)/14.51</f>
        <v>1.0337698139214335</v>
      </c>
      <c r="I26" s="41">
        <v>3301.45</v>
      </c>
      <c r="J26" s="59">
        <f t="shared" ref="J26" si="4">H26*I26</f>
        <v>3412.9393521709167</v>
      </c>
      <c r="K26" s="8"/>
    </row>
    <row r="27" spans="2:11" ht="28.5">
      <c r="B27" s="18">
        <v>7</v>
      </c>
      <c r="C27" s="12" t="s">
        <v>24</v>
      </c>
      <c r="D27" s="41">
        <f>6+3+3</f>
        <v>12</v>
      </c>
      <c r="E27" s="41">
        <v>0</v>
      </c>
      <c r="F27" s="41">
        <v>0</v>
      </c>
      <c r="G27" s="8" t="s">
        <v>14</v>
      </c>
      <c r="H27" s="41">
        <f>D27/3.81</f>
        <v>3.1496062992125982</v>
      </c>
      <c r="I27" s="41">
        <v>418.85</v>
      </c>
      <c r="J27" s="59">
        <f t="shared" ref="J27:J32" si="5">H27*I27</f>
        <v>1319.2125984251968</v>
      </c>
      <c r="K27" s="8"/>
    </row>
    <row r="28" spans="2:11" ht="42.75">
      <c r="B28" s="18">
        <v>8</v>
      </c>
      <c r="C28" s="12" t="s">
        <v>25</v>
      </c>
      <c r="D28" s="41">
        <v>0</v>
      </c>
      <c r="E28" s="41">
        <v>0</v>
      </c>
      <c r="F28" s="41">
        <v>0</v>
      </c>
      <c r="G28" s="8" t="s">
        <v>26</v>
      </c>
      <c r="H28" s="41">
        <v>2</v>
      </c>
      <c r="I28" s="41">
        <v>808.15</v>
      </c>
      <c r="J28" s="59">
        <f t="shared" si="5"/>
        <v>1616.3</v>
      </c>
      <c r="K28" s="8" t="s">
        <v>11</v>
      </c>
    </row>
    <row r="29" spans="2:11" ht="29.25">
      <c r="B29" s="8">
        <v>9</v>
      </c>
      <c r="C29" s="12" t="s">
        <v>78</v>
      </c>
      <c r="D29" s="41">
        <f>D16</f>
        <v>19.42257217847769</v>
      </c>
      <c r="E29" s="41">
        <v>9</v>
      </c>
      <c r="F29" s="41">
        <v>0</v>
      </c>
      <c r="G29" s="8" t="s">
        <v>13</v>
      </c>
      <c r="H29" s="41">
        <f>D29*E29/14.51</f>
        <v>12.047081296092296</v>
      </c>
      <c r="I29" s="41">
        <v>370.85</v>
      </c>
      <c r="J29" s="59">
        <f t="shared" si="5"/>
        <v>4467.6600986558278</v>
      </c>
      <c r="K29" s="19" t="s">
        <v>76</v>
      </c>
    </row>
    <row r="30" spans="2:11" ht="29.25">
      <c r="B30" s="8">
        <v>10</v>
      </c>
      <c r="C30" s="12" t="s">
        <v>111</v>
      </c>
      <c r="D30" s="41">
        <f>D29</f>
        <v>19.42257217847769</v>
      </c>
      <c r="E30" s="41">
        <v>9</v>
      </c>
      <c r="F30" s="41">
        <v>0</v>
      </c>
      <c r="G30" s="8" t="s">
        <v>13</v>
      </c>
      <c r="H30" s="41">
        <f>D30*E30/14.51</f>
        <v>12.047081296092296</v>
      </c>
      <c r="I30" s="41">
        <v>113.85</v>
      </c>
      <c r="J30" s="59">
        <f t="shared" si="5"/>
        <v>1371.5602055601078</v>
      </c>
      <c r="K30" s="19" t="s">
        <v>76</v>
      </c>
    </row>
    <row r="31" spans="2:11" ht="57.75">
      <c r="B31" s="8">
        <v>11</v>
      </c>
      <c r="C31" s="12" t="s">
        <v>81</v>
      </c>
      <c r="D31" s="41">
        <f>(27+11)/3.81</f>
        <v>9.9737532808398957</v>
      </c>
      <c r="E31" s="41">
        <v>1</v>
      </c>
      <c r="F31" s="41">
        <v>0</v>
      </c>
      <c r="G31" s="8" t="s">
        <v>13</v>
      </c>
      <c r="H31" s="41">
        <f>D31*E31</f>
        <v>9.9737532808398957</v>
      </c>
      <c r="I31" s="41">
        <v>681.65</v>
      </c>
      <c r="J31" s="59">
        <f t="shared" si="5"/>
        <v>6798.6089238845143</v>
      </c>
      <c r="K31" s="19" t="s">
        <v>76</v>
      </c>
    </row>
    <row r="32" spans="2:11" ht="129.75" thickBot="1">
      <c r="B32" s="8">
        <v>12</v>
      </c>
      <c r="C32" s="12" t="s">
        <v>85</v>
      </c>
      <c r="D32" s="41">
        <v>27</v>
      </c>
      <c r="E32" s="41">
        <v>5</v>
      </c>
      <c r="F32" s="41">
        <v>0</v>
      </c>
      <c r="G32" s="8" t="s">
        <v>10</v>
      </c>
      <c r="H32" s="41">
        <f>D32*E32/14.51</f>
        <v>9.303928325292901</v>
      </c>
      <c r="I32" s="41">
        <v>516.6</v>
      </c>
      <c r="J32" s="59">
        <f t="shared" si="5"/>
        <v>4806.4093728463131</v>
      </c>
      <c r="K32" s="19"/>
    </row>
    <row r="33" spans="2:11" ht="16.5" thickBot="1">
      <c r="B33" s="172" t="s">
        <v>108</v>
      </c>
      <c r="C33" s="173"/>
      <c r="D33" s="173"/>
      <c r="E33" s="173"/>
      <c r="F33" s="173"/>
      <c r="G33" s="173"/>
      <c r="H33" s="173"/>
      <c r="I33" s="185"/>
      <c r="J33" s="61">
        <f>SUM(J24:J32)</f>
        <v>117764.89730550566</v>
      </c>
      <c r="K33" s="8"/>
    </row>
    <row r="34" spans="2:11" ht="15.75">
      <c r="B34" s="48"/>
      <c r="C34" s="49"/>
      <c r="D34" s="49"/>
      <c r="E34" s="49"/>
      <c r="F34" s="49"/>
      <c r="G34" s="49"/>
      <c r="H34" s="49"/>
      <c r="I34" s="49"/>
      <c r="J34" s="62"/>
      <c r="K34" s="33"/>
    </row>
    <row r="35" spans="2:11" ht="18">
      <c r="B35" s="177" t="s">
        <v>102</v>
      </c>
      <c r="C35" s="178"/>
      <c r="D35" s="178"/>
      <c r="E35" s="178"/>
      <c r="F35" s="178"/>
      <c r="G35" s="178"/>
      <c r="H35" s="178"/>
      <c r="I35" s="178"/>
      <c r="J35" s="178"/>
      <c r="K35" s="176"/>
    </row>
    <row r="36" spans="2:11" ht="15">
      <c r="B36" s="18">
        <v>13</v>
      </c>
      <c r="C36" s="12" t="s">
        <v>63</v>
      </c>
      <c r="D36" s="41">
        <f>D37</f>
        <v>72.8</v>
      </c>
      <c r="E36" s="41">
        <v>0</v>
      </c>
      <c r="F36" s="41">
        <f>F37</f>
        <v>10</v>
      </c>
      <c r="G36" s="8" t="s">
        <v>13</v>
      </c>
      <c r="H36" s="41">
        <f t="shared" ref="H36:H38" si="6">(D36*F36)/14.51</f>
        <v>50.172294968986904</v>
      </c>
      <c r="I36" s="41">
        <v>64.45</v>
      </c>
      <c r="J36" s="59">
        <f>H36*I36</f>
        <v>3233.6044107512062</v>
      </c>
      <c r="K36" s="8" t="s">
        <v>11</v>
      </c>
    </row>
    <row r="37" spans="2:11" ht="29.25">
      <c r="B37" s="18">
        <v>14</v>
      </c>
      <c r="C37" s="12" t="s">
        <v>62</v>
      </c>
      <c r="D37" s="41">
        <f>26.7+9.7+26.7+9.7</f>
        <v>72.8</v>
      </c>
      <c r="E37" s="41">
        <v>0</v>
      </c>
      <c r="F37" s="41">
        <v>10</v>
      </c>
      <c r="G37" s="8" t="s">
        <v>13</v>
      </c>
      <c r="H37" s="41">
        <f t="shared" si="6"/>
        <v>50.172294968986904</v>
      </c>
      <c r="I37" s="41">
        <v>123.85</v>
      </c>
      <c r="J37" s="59">
        <f>H37*I37</f>
        <v>6213.838731909028</v>
      </c>
      <c r="K37" s="8" t="s">
        <v>11</v>
      </c>
    </row>
    <row r="38" spans="2:11" ht="45" thickBot="1">
      <c r="B38" s="18">
        <v>15</v>
      </c>
      <c r="C38" s="23" t="s">
        <v>112</v>
      </c>
      <c r="D38" s="41">
        <f>D37</f>
        <v>72.8</v>
      </c>
      <c r="E38" s="41">
        <v>0</v>
      </c>
      <c r="F38" s="41">
        <v>11</v>
      </c>
      <c r="G38" s="8" t="s">
        <v>13</v>
      </c>
      <c r="H38" s="41">
        <f t="shared" si="6"/>
        <v>55.189524465885597</v>
      </c>
      <c r="I38" s="41">
        <v>121.55</v>
      </c>
      <c r="J38" s="59">
        <f>H38*I38</f>
        <v>6708.286698828394</v>
      </c>
      <c r="K38" s="8" t="s">
        <v>11</v>
      </c>
    </row>
    <row r="39" spans="2:11" ht="16.5" thickBot="1">
      <c r="B39" s="172" t="s">
        <v>109</v>
      </c>
      <c r="C39" s="173"/>
      <c r="D39" s="173"/>
      <c r="E39" s="173"/>
      <c r="F39" s="173"/>
      <c r="G39" s="173"/>
      <c r="H39" s="173"/>
      <c r="I39" s="185"/>
      <c r="J39" s="61">
        <f>SUM(J36:J38)</f>
        <v>16155.729841488628</v>
      </c>
      <c r="K39" s="8"/>
    </row>
    <row r="40" spans="2:11" ht="15.75">
      <c r="B40" s="48"/>
      <c r="C40" s="49"/>
      <c r="D40" s="49"/>
      <c r="E40" s="49"/>
      <c r="F40" s="49"/>
      <c r="G40" s="49"/>
      <c r="H40" s="49"/>
      <c r="I40" s="49"/>
      <c r="J40" s="62"/>
      <c r="K40" s="33"/>
    </row>
    <row r="41" spans="2:11" s="6" customFormat="1" ht="18">
      <c r="B41" s="177" t="s">
        <v>91</v>
      </c>
      <c r="C41" s="178"/>
      <c r="D41" s="178"/>
      <c r="E41" s="178"/>
      <c r="F41" s="178"/>
      <c r="G41" s="178"/>
      <c r="H41" s="178"/>
      <c r="I41" s="178"/>
      <c r="J41" s="178"/>
      <c r="K41" s="176"/>
    </row>
    <row r="42" spans="2:11">
      <c r="B42" s="8">
        <v>16</v>
      </c>
      <c r="C42" s="16" t="s">
        <v>31</v>
      </c>
      <c r="D42" s="44"/>
      <c r="E42" s="44"/>
      <c r="F42" s="44"/>
      <c r="G42" s="16"/>
      <c r="H42" s="16"/>
      <c r="I42" s="44"/>
      <c r="J42" s="66"/>
      <c r="K42" s="8" t="s">
        <v>67</v>
      </c>
    </row>
    <row r="43" spans="2:11">
      <c r="B43" s="8">
        <v>16.100000000000001</v>
      </c>
      <c r="C43" s="11" t="s">
        <v>32</v>
      </c>
      <c r="D43" s="41" t="s">
        <v>11</v>
      </c>
      <c r="E43" s="41" t="s">
        <v>11</v>
      </c>
      <c r="F43" s="41" t="s">
        <v>11</v>
      </c>
      <c r="G43" s="8" t="s">
        <v>26</v>
      </c>
      <c r="H43" s="8">
        <v>2</v>
      </c>
      <c r="I43" s="41">
        <v>104.35</v>
      </c>
      <c r="J43" s="59">
        <f t="shared" ref="J43" si="7">H43*I43</f>
        <v>208.7</v>
      </c>
      <c r="K43" s="8"/>
    </row>
    <row r="44" spans="2:11" hidden="1">
      <c r="B44" s="8">
        <v>30</v>
      </c>
      <c r="C44" s="11" t="s">
        <v>33</v>
      </c>
      <c r="D44" s="41"/>
      <c r="E44" s="41"/>
      <c r="F44" s="41"/>
      <c r="G44" s="8" t="s">
        <v>26</v>
      </c>
      <c r="H44" s="8">
        <f t="shared" ref="H44" si="8">(D44*E44*F44)/35.32</f>
        <v>0</v>
      </c>
      <c r="I44" s="41">
        <v>45.25</v>
      </c>
      <c r="J44" s="59">
        <f t="shared" si="3"/>
        <v>0</v>
      </c>
      <c r="K44" s="8" t="s">
        <v>11</v>
      </c>
    </row>
    <row r="45" spans="2:11">
      <c r="B45" s="8">
        <v>17</v>
      </c>
      <c r="C45" s="12" t="s">
        <v>215</v>
      </c>
      <c r="D45" s="15">
        <f>SUM(D46:D49)</f>
        <v>47</v>
      </c>
      <c r="E45" s="41" t="s">
        <v>11</v>
      </c>
      <c r="F45" s="41" t="s">
        <v>11</v>
      </c>
      <c r="G45" s="8" t="s">
        <v>14</v>
      </c>
      <c r="H45" s="8" t="s">
        <v>11</v>
      </c>
      <c r="I45" s="8" t="s">
        <v>11</v>
      </c>
      <c r="J45" s="8" t="s">
        <v>11</v>
      </c>
      <c r="K45" s="8" t="s">
        <v>11</v>
      </c>
    </row>
    <row r="46" spans="2:11">
      <c r="B46" s="8">
        <v>17.100000000000001</v>
      </c>
      <c r="C46" s="12" t="s">
        <v>213</v>
      </c>
      <c r="D46" s="39">
        <v>2</v>
      </c>
      <c r="E46" s="15" t="s">
        <v>11</v>
      </c>
      <c r="F46" s="15" t="s">
        <v>11</v>
      </c>
      <c r="G46" s="15" t="s">
        <v>14</v>
      </c>
      <c r="H46" s="41">
        <f t="shared" ref="H46:H47" si="9">D46</f>
        <v>2</v>
      </c>
      <c r="I46" s="41">
        <v>674.35</v>
      </c>
      <c r="J46" s="59">
        <f t="shared" ref="J46:J47" si="10">I46*H46</f>
        <v>1348.7</v>
      </c>
      <c r="K46" s="59">
        <f>J46*I46</f>
        <v>909495.84500000009</v>
      </c>
    </row>
    <row r="47" spans="2:11">
      <c r="B47" s="8">
        <v>17.2</v>
      </c>
      <c r="C47" s="12" t="s">
        <v>214</v>
      </c>
      <c r="D47" s="39">
        <v>31</v>
      </c>
      <c r="E47" s="15" t="s">
        <v>11</v>
      </c>
      <c r="F47" s="15" t="s">
        <v>11</v>
      </c>
      <c r="G47" s="15" t="s">
        <v>14</v>
      </c>
      <c r="H47" s="41">
        <f t="shared" si="9"/>
        <v>31</v>
      </c>
      <c r="I47" s="41">
        <v>927</v>
      </c>
      <c r="J47" s="59">
        <f t="shared" si="10"/>
        <v>28737</v>
      </c>
      <c r="K47" s="8"/>
    </row>
    <row r="48" spans="2:11">
      <c r="B48" s="8">
        <v>17.3</v>
      </c>
      <c r="C48" s="12" t="s">
        <v>211</v>
      </c>
      <c r="D48" s="39">
        <v>13</v>
      </c>
      <c r="E48" s="15" t="s">
        <v>11</v>
      </c>
      <c r="F48" s="15" t="s">
        <v>11</v>
      </c>
      <c r="G48" s="8" t="s">
        <v>14</v>
      </c>
      <c r="H48" s="41">
        <f>D48</f>
        <v>13</v>
      </c>
      <c r="I48" s="41">
        <v>1018.05</v>
      </c>
      <c r="J48" s="59">
        <f>I48*H48</f>
        <v>13234.65</v>
      </c>
      <c r="K48" s="8"/>
    </row>
    <row r="49" spans="2:11">
      <c r="B49" s="8">
        <v>17.399999999999999</v>
      </c>
      <c r="C49" s="12" t="s">
        <v>212</v>
      </c>
      <c r="D49" s="39">
        <v>1</v>
      </c>
      <c r="E49" s="15" t="s">
        <v>11</v>
      </c>
      <c r="F49" s="15" t="s">
        <v>11</v>
      </c>
      <c r="G49" s="8" t="s">
        <v>14</v>
      </c>
      <c r="H49" s="41">
        <f>D49</f>
        <v>1</v>
      </c>
      <c r="I49" s="41">
        <v>1018.05</v>
      </c>
      <c r="J49" s="59">
        <f t="shared" ref="J49" si="11">H49*I49</f>
        <v>1018.05</v>
      </c>
      <c r="K49" s="8" t="s">
        <v>11</v>
      </c>
    </row>
    <row r="50" spans="2:11" ht="42.75">
      <c r="B50" s="8">
        <v>18</v>
      </c>
      <c r="C50" s="13" t="s">
        <v>68</v>
      </c>
      <c r="D50" s="41">
        <f>D51+D52</f>
        <v>50</v>
      </c>
      <c r="E50" s="41" t="s">
        <v>11</v>
      </c>
      <c r="F50" s="41" t="s">
        <v>11</v>
      </c>
      <c r="G50" s="41" t="s">
        <v>11</v>
      </c>
      <c r="H50" s="41" t="s">
        <v>11</v>
      </c>
      <c r="I50" s="41" t="s">
        <v>11</v>
      </c>
      <c r="J50" s="41" t="s">
        <v>11</v>
      </c>
      <c r="K50" s="8"/>
    </row>
    <row r="51" spans="2:11" ht="15">
      <c r="B51" s="8">
        <v>18.100000000000001</v>
      </c>
      <c r="C51" s="22" t="s">
        <v>71</v>
      </c>
      <c r="D51" s="41">
        <v>39</v>
      </c>
      <c r="E51" s="41" t="s">
        <v>11</v>
      </c>
      <c r="F51" s="41" t="s">
        <v>11</v>
      </c>
      <c r="G51" s="8" t="s">
        <v>14</v>
      </c>
      <c r="H51" s="8">
        <f>D51</f>
        <v>39</v>
      </c>
      <c r="I51" s="41">
        <v>441.15</v>
      </c>
      <c r="J51" s="59">
        <f>H51*I51</f>
        <v>17204.849999999999</v>
      </c>
      <c r="K51" s="8"/>
    </row>
    <row r="52" spans="2:11" ht="15" thickBot="1">
      <c r="B52" s="8">
        <v>18.2</v>
      </c>
      <c r="C52" s="1" t="s">
        <v>217</v>
      </c>
      <c r="D52" s="41">
        <v>11</v>
      </c>
      <c r="E52" s="41" t="s">
        <v>11</v>
      </c>
      <c r="F52" s="41" t="s">
        <v>11</v>
      </c>
      <c r="G52" s="8" t="s">
        <v>14</v>
      </c>
      <c r="H52" s="8">
        <f>D52</f>
        <v>11</v>
      </c>
      <c r="I52" s="41">
        <v>513.75</v>
      </c>
      <c r="J52" s="59">
        <f>H52*I52</f>
        <v>5651.25</v>
      </c>
      <c r="K52" s="8"/>
    </row>
    <row r="53" spans="2:11" s="6" customFormat="1" ht="16.5" thickBot="1">
      <c r="B53" s="172" t="s">
        <v>99</v>
      </c>
      <c r="C53" s="173"/>
      <c r="D53" s="173"/>
      <c r="E53" s="173"/>
      <c r="F53" s="173"/>
      <c r="G53" s="173"/>
      <c r="H53" s="173"/>
      <c r="I53" s="185"/>
      <c r="J53" s="61">
        <f>SUM(J42:J52)</f>
        <v>67403.200000000012</v>
      </c>
      <c r="K53" s="33"/>
    </row>
    <row r="54" spans="2:11" s="6" customFormat="1" ht="15.75">
      <c r="B54" s="48"/>
      <c r="C54" s="49"/>
      <c r="D54" s="49"/>
      <c r="E54" s="49"/>
      <c r="F54" s="49"/>
      <c r="G54" s="49"/>
      <c r="H54" s="49"/>
      <c r="I54" s="49"/>
      <c r="J54" s="62"/>
      <c r="K54" s="33"/>
    </row>
    <row r="55" spans="2:11" ht="18">
      <c r="B55" s="174" t="s">
        <v>106</v>
      </c>
      <c r="C55" s="175"/>
      <c r="D55" s="175"/>
      <c r="E55" s="175"/>
      <c r="F55" s="175"/>
      <c r="G55" s="175"/>
      <c r="H55" s="175"/>
      <c r="I55" s="175"/>
      <c r="J55" s="175"/>
      <c r="K55" s="176"/>
    </row>
    <row r="56" spans="2:11" ht="151.15" customHeight="1">
      <c r="B56" s="18">
        <v>18</v>
      </c>
      <c r="C56" s="12" t="s">
        <v>221</v>
      </c>
      <c r="D56" s="41">
        <v>27</v>
      </c>
      <c r="E56" s="41">
        <v>9.6999999999999993</v>
      </c>
      <c r="F56" s="41">
        <v>0</v>
      </c>
      <c r="G56" s="8" t="s">
        <v>13</v>
      </c>
      <c r="H56" s="41">
        <f>(D56*E56)/14.51</f>
        <v>18.049620951068228</v>
      </c>
      <c r="I56" s="41">
        <v>1690.45</v>
      </c>
      <c r="J56" s="59">
        <f t="shared" ref="J56:J62" si="12">H56*I56</f>
        <v>30511.981736733287</v>
      </c>
      <c r="K56" s="8" t="s">
        <v>11</v>
      </c>
    </row>
    <row r="57" spans="2:11" s="6" customFormat="1">
      <c r="B57" s="8">
        <v>19</v>
      </c>
      <c r="C57" s="11" t="s">
        <v>29</v>
      </c>
      <c r="D57" s="41"/>
      <c r="E57" s="41"/>
      <c r="F57" s="41"/>
      <c r="G57" s="8"/>
      <c r="H57" s="41">
        <f>(D57*E57*F57)/35.32</f>
        <v>0</v>
      </c>
      <c r="I57" s="41"/>
      <c r="J57" s="59">
        <f t="shared" si="12"/>
        <v>0</v>
      </c>
      <c r="K57" s="8" t="s">
        <v>11</v>
      </c>
    </row>
    <row r="58" spans="2:11" s="6" customFormat="1">
      <c r="B58" s="8">
        <v>19.100000000000001</v>
      </c>
      <c r="C58" s="11" t="s">
        <v>27</v>
      </c>
      <c r="D58" s="41"/>
      <c r="E58" s="41"/>
      <c r="F58" s="41"/>
      <c r="G58" s="8" t="s">
        <v>26</v>
      </c>
      <c r="H58" s="41">
        <v>7</v>
      </c>
      <c r="I58" s="41">
        <v>7300</v>
      </c>
      <c r="J58" s="59">
        <f t="shared" si="12"/>
        <v>51100</v>
      </c>
      <c r="K58" s="8" t="s">
        <v>11</v>
      </c>
    </row>
    <row r="59" spans="2:11" s="6" customFormat="1">
      <c r="B59" s="8">
        <v>19.2</v>
      </c>
      <c r="C59" s="11" t="s">
        <v>30</v>
      </c>
      <c r="D59" s="41"/>
      <c r="E59" s="41"/>
      <c r="F59" s="41"/>
      <c r="G59" s="8" t="s">
        <v>26</v>
      </c>
      <c r="H59" s="41">
        <v>7</v>
      </c>
      <c r="I59" s="41">
        <v>16490</v>
      </c>
      <c r="J59" s="59">
        <f t="shared" si="12"/>
        <v>115430</v>
      </c>
      <c r="K59" s="8" t="s">
        <v>11</v>
      </c>
    </row>
    <row r="60" spans="2:11" s="6" customFormat="1">
      <c r="B60" s="8">
        <v>19.3</v>
      </c>
      <c r="C60" s="11" t="s">
        <v>28</v>
      </c>
      <c r="D60" s="41"/>
      <c r="E60" s="41"/>
      <c r="F60" s="41"/>
      <c r="G60" s="8" t="s">
        <v>26</v>
      </c>
      <c r="H60" s="41">
        <v>2</v>
      </c>
      <c r="I60" s="41">
        <v>5300</v>
      </c>
      <c r="J60" s="59">
        <f t="shared" si="12"/>
        <v>10600</v>
      </c>
      <c r="K60" s="8" t="s">
        <v>11</v>
      </c>
    </row>
    <row r="61" spans="2:11" s="6" customFormat="1">
      <c r="B61" s="8">
        <v>19.399999999999999</v>
      </c>
      <c r="C61" s="11" t="s">
        <v>223</v>
      </c>
      <c r="D61" s="41"/>
      <c r="E61" s="41"/>
      <c r="F61" s="41"/>
      <c r="G61" s="8" t="s">
        <v>26</v>
      </c>
      <c r="H61" s="41">
        <v>4</v>
      </c>
      <c r="I61" s="41">
        <v>11200</v>
      </c>
      <c r="J61" s="59">
        <f t="shared" si="12"/>
        <v>44800</v>
      </c>
      <c r="K61" s="8"/>
    </row>
    <row r="62" spans="2:11" s="6" customFormat="1" ht="15" thickBot="1">
      <c r="B62" s="8">
        <v>19.5</v>
      </c>
      <c r="C62" s="11" t="s">
        <v>34</v>
      </c>
      <c r="D62" s="41"/>
      <c r="E62" s="41"/>
      <c r="F62" s="41"/>
      <c r="G62" s="8" t="s">
        <v>26</v>
      </c>
      <c r="H62" s="41">
        <v>2</v>
      </c>
      <c r="I62" s="41">
        <v>800</v>
      </c>
      <c r="J62" s="59">
        <f t="shared" si="12"/>
        <v>1600</v>
      </c>
      <c r="K62" s="8" t="s">
        <v>11</v>
      </c>
    </row>
    <row r="63" spans="2:11" s="6" customFormat="1" ht="16.5" thickBot="1">
      <c r="B63" s="172" t="s">
        <v>110</v>
      </c>
      <c r="C63" s="173"/>
      <c r="D63" s="173"/>
      <c r="E63" s="173"/>
      <c r="F63" s="173"/>
      <c r="G63" s="173"/>
      <c r="H63" s="173"/>
      <c r="I63" s="185"/>
      <c r="J63" s="61">
        <f>SUM(J56:J62)</f>
        <v>254041.98173673329</v>
      </c>
      <c r="K63" s="8"/>
    </row>
    <row r="64" spans="2:11" ht="15" thickBot="1"/>
    <row r="65" spans="2:10" ht="18.75" thickBot="1">
      <c r="B65" s="165" t="s">
        <v>101</v>
      </c>
      <c r="C65" s="165"/>
      <c r="D65" s="165"/>
      <c r="E65" s="165"/>
      <c r="F65" s="165"/>
      <c r="G65" s="165"/>
      <c r="H65" s="165"/>
      <c r="I65" s="165"/>
      <c r="J65" s="68">
        <f>J63+J53+J39+J33+J21+J17+J12</f>
        <v>505004.45896404143</v>
      </c>
    </row>
    <row r="66" spans="2:10" ht="18.75" thickBot="1">
      <c r="B66" s="186"/>
      <c r="C66" s="186"/>
      <c r="D66" s="186"/>
      <c r="E66" s="186"/>
      <c r="F66" s="186"/>
      <c r="G66" s="186"/>
      <c r="H66" s="186"/>
      <c r="I66" s="186"/>
      <c r="J66" s="69"/>
    </row>
  </sheetData>
  <mergeCells count="17">
    <mergeCell ref="B41:K41"/>
    <mergeCell ref="B53:I53"/>
    <mergeCell ref="B63:I63"/>
    <mergeCell ref="B65:I65"/>
    <mergeCell ref="B66:I66"/>
    <mergeCell ref="B2:C2"/>
    <mergeCell ref="B12:I12"/>
    <mergeCell ref="B17:I17"/>
    <mergeCell ref="B21:I21"/>
    <mergeCell ref="B33:I33"/>
    <mergeCell ref="B39:I39"/>
    <mergeCell ref="B6:K6"/>
    <mergeCell ref="B14:K14"/>
    <mergeCell ref="B19:K19"/>
    <mergeCell ref="B23:K23"/>
    <mergeCell ref="B35:K35"/>
    <mergeCell ref="B55:K5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7"/>
  <sheetViews>
    <sheetView zoomScale="70" zoomScaleNormal="70" workbookViewId="0">
      <pane ySplit="4" topLeftCell="A11" activePane="bottomLeft" state="frozen"/>
      <selection pane="bottomLeft" activeCell="B20" sqref="B20:J20"/>
    </sheetView>
  </sheetViews>
  <sheetFormatPr defaultColWidth="8.85546875" defaultRowHeight="14.25"/>
  <cols>
    <col min="1" max="1" width="2" style="1" customWidth="1"/>
    <col min="2" max="2" width="11" style="3" bestFit="1" customWidth="1"/>
    <col min="3" max="3" width="113.7109375" style="1" customWidth="1"/>
    <col min="4" max="4" width="12.140625" style="3" bestFit="1" customWidth="1"/>
    <col min="5" max="5" width="10" style="1" bestFit="1" customWidth="1"/>
    <col min="6" max="6" width="8.42578125" style="1" bestFit="1" customWidth="1"/>
    <col min="7" max="7" width="9.42578125" style="1" bestFit="1" customWidth="1"/>
    <col min="8" max="8" width="11.7109375" style="1" bestFit="1" customWidth="1"/>
    <col min="9" max="9" width="11.140625" style="4" bestFit="1" customWidth="1"/>
    <col min="10" max="10" width="16.5703125" style="3" bestFit="1" customWidth="1"/>
    <col min="11" max="16384" width="8.85546875" style="1"/>
  </cols>
  <sheetData>
    <row r="2" spans="2:10" ht="20.25">
      <c r="B2" s="171" t="s">
        <v>36</v>
      </c>
      <c r="C2" s="171"/>
    </row>
    <row r="4" spans="2:10" s="2" customFormat="1" ht="54">
      <c r="B4" s="45" t="s">
        <v>35</v>
      </c>
      <c r="C4" s="46" t="s">
        <v>0</v>
      </c>
      <c r="D4" s="46" t="s">
        <v>69</v>
      </c>
      <c r="E4" s="47" t="s">
        <v>1</v>
      </c>
      <c r="F4" s="47" t="s">
        <v>2</v>
      </c>
      <c r="G4" s="47" t="s">
        <v>3</v>
      </c>
      <c r="H4" s="45" t="s">
        <v>4</v>
      </c>
      <c r="I4" s="47" t="s">
        <v>5</v>
      </c>
      <c r="J4" s="45" t="s">
        <v>6</v>
      </c>
    </row>
    <row r="5" spans="2:10" s="2" customFormat="1" ht="18">
      <c r="B5" s="52"/>
      <c r="C5" s="53"/>
      <c r="D5" s="54"/>
      <c r="E5" s="55"/>
      <c r="F5" s="55"/>
      <c r="G5" s="55"/>
      <c r="H5" s="52"/>
      <c r="I5" s="55"/>
      <c r="J5" s="52"/>
    </row>
    <row r="6" spans="2:10" s="2" customFormat="1" ht="18">
      <c r="B6" s="177" t="s">
        <v>128</v>
      </c>
      <c r="C6" s="178"/>
      <c r="D6" s="178"/>
      <c r="E6" s="178"/>
      <c r="F6" s="178"/>
      <c r="G6" s="178"/>
      <c r="H6" s="178"/>
      <c r="I6" s="178"/>
      <c r="J6" s="178"/>
    </row>
    <row r="7" spans="2:10" ht="186" thickBot="1">
      <c r="B7" s="8">
        <v>1</v>
      </c>
      <c r="C7" s="12" t="s">
        <v>221</v>
      </c>
      <c r="D7" s="8" t="s">
        <v>10</v>
      </c>
      <c r="E7" s="74">
        <v>19</v>
      </c>
      <c r="F7" s="74">
        <v>15</v>
      </c>
      <c r="G7" s="8" t="s">
        <v>11</v>
      </c>
      <c r="H7" s="74">
        <f>E7*F7</f>
        <v>285</v>
      </c>
      <c r="I7" s="59">
        <v>1690.45</v>
      </c>
      <c r="J7" s="41">
        <f>H7*I7</f>
        <v>481778.25</v>
      </c>
    </row>
    <row r="8" spans="2:10" ht="16.5" thickBot="1">
      <c r="B8" s="172" t="s">
        <v>131</v>
      </c>
      <c r="C8" s="173"/>
      <c r="D8" s="173"/>
      <c r="E8" s="173"/>
      <c r="F8" s="173"/>
      <c r="G8" s="173"/>
      <c r="H8" s="173"/>
      <c r="I8" s="173"/>
      <c r="J8" s="83">
        <f>J7</f>
        <v>481778.25</v>
      </c>
    </row>
    <row r="9" spans="2:10" s="81" customFormat="1" ht="15.75">
      <c r="B9" s="49"/>
      <c r="C9" s="49"/>
      <c r="D9" s="49"/>
      <c r="E9" s="49"/>
      <c r="F9" s="49"/>
      <c r="G9" s="49"/>
      <c r="H9" s="49"/>
      <c r="I9" s="49"/>
      <c r="J9" s="159"/>
    </row>
    <row r="10" spans="2:10" ht="18">
      <c r="B10" s="177" t="s">
        <v>90</v>
      </c>
      <c r="C10" s="178"/>
      <c r="D10" s="178"/>
      <c r="E10" s="178"/>
      <c r="F10" s="178"/>
      <c r="G10" s="178"/>
      <c r="H10" s="178"/>
      <c r="I10" s="178"/>
      <c r="J10" s="178"/>
    </row>
    <row r="11" spans="2:10" ht="102" thickBot="1">
      <c r="B11" s="8">
        <v>2</v>
      </c>
      <c r="C11" s="12" t="s">
        <v>218</v>
      </c>
      <c r="D11" s="41" t="s">
        <v>13</v>
      </c>
      <c r="E11" s="41">
        <v>63</v>
      </c>
      <c r="F11" s="41">
        <v>49.5</v>
      </c>
      <c r="G11" s="8" t="s">
        <v>11</v>
      </c>
      <c r="H11" s="41">
        <f>E11*F11/14.51</f>
        <v>214.92074431426602</v>
      </c>
      <c r="I11" s="41">
        <v>1359.2</v>
      </c>
      <c r="J11" s="59">
        <f>H11*I11</f>
        <v>292120.27567195037</v>
      </c>
    </row>
    <row r="12" spans="2:10" ht="16.5" thickBot="1">
      <c r="B12" s="172" t="s">
        <v>131</v>
      </c>
      <c r="C12" s="173"/>
      <c r="D12" s="173"/>
      <c r="E12" s="173"/>
      <c r="F12" s="173"/>
      <c r="G12" s="173"/>
      <c r="H12" s="173"/>
      <c r="I12" s="173"/>
      <c r="J12" s="83">
        <f>J11</f>
        <v>292120.27567195037</v>
      </c>
    </row>
    <row r="13" spans="2:10">
      <c r="B13" s="32"/>
      <c r="C13" s="84"/>
      <c r="D13" s="32"/>
      <c r="E13" s="160"/>
      <c r="F13" s="160"/>
      <c r="G13" s="160"/>
      <c r="H13" s="160"/>
      <c r="I13" s="161"/>
      <c r="J13" s="162"/>
    </row>
    <row r="14" spans="2:10" s="81" customFormat="1" ht="15">
      <c r="B14" s="80"/>
      <c r="C14" s="80"/>
      <c r="D14" s="80"/>
      <c r="E14" s="80"/>
      <c r="F14" s="80"/>
      <c r="G14" s="80"/>
      <c r="H14" s="80"/>
      <c r="I14" s="80"/>
      <c r="J14" s="32"/>
    </row>
    <row r="15" spans="2:10" ht="18">
      <c r="B15" s="177" t="s">
        <v>129</v>
      </c>
      <c r="C15" s="178"/>
      <c r="D15" s="178"/>
      <c r="E15" s="178"/>
      <c r="F15" s="178"/>
      <c r="G15" s="178"/>
      <c r="H15" s="178"/>
      <c r="I15" s="178"/>
      <c r="J15" s="178"/>
    </row>
    <row r="16" spans="2:10">
      <c r="B16" s="8">
        <v>3</v>
      </c>
      <c r="C16" s="73" t="s">
        <v>121</v>
      </c>
      <c r="D16" s="8" t="s">
        <v>120</v>
      </c>
      <c r="E16" s="10">
        <v>367</v>
      </c>
      <c r="F16" s="10">
        <v>0</v>
      </c>
      <c r="G16" s="10">
        <v>10.5</v>
      </c>
      <c r="H16" s="10">
        <f>E16*G16</f>
        <v>3853.5</v>
      </c>
      <c r="I16" s="59">
        <v>125</v>
      </c>
      <c r="J16" s="41">
        <f>H16*I16</f>
        <v>481687.5</v>
      </c>
    </row>
    <row r="17" spans="2:10" ht="15" thickBot="1">
      <c r="B17" s="8">
        <v>4</v>
      </c>
      <c r="C17" s="73" t="s">
        <v>119</v>
      </c>
      <c r="D17" s="8" t="s">
        <v>120</v>
      </c>
      <c r="E17" s="10">
        <v>229.5</v>
      </c>
      <c r="F17" s="10">
        <v>0</v>
      </c>
      <c r="G17" s="10">
        <v>10.5</v>
      </c>
      <c r="H17" s="10">
        <f>E17*G17</f>
        <v>2409.75</v>
      </c>
      <c r="I17" s="59">
        <v>350</v>
      </c>
      <c r="J17" s="41">
        <f>H17*I17</f>
        <v>843412.5</v>
      </c>
    </row>
    <row r="18" spans="2:10" ht="16.5" thickBot="1">
      <c r="B18" s="172" t="s">
        <v>132</v>
      </c>
      <c r="C18" s="173"/>
      <c r="D18" s="173"/>
      <c r="E18" s="173"/>
      <c r="F18" s="173"/>
      <c r="G18" s="173"/>
      <c r="H18" s="173"/>
      <c r="I18" s="173"/>
      <c r="J18" s="83">
        <f>J16+J17</f>
        <v>1325100</v>
      </c>
    </row>
    <row r="19" spans="2:10" ht="15">
      <c r="B19" s="78"/>
      <c r="C19" s="79"/>
      <c r="D19" s="79"/>
      <c r="E19" s="79"/>
      <c r="F19" s="79"/>
      <c r="G19" s="79"/>
      <c r="H19" s="79"/>
      <c r="I19" s="79"/>
      <c r="J19" s="76"/>
    </row>
    <row r="20" spans="2:10" ht="18">
      <c r="B20" s="177" t="s">
        <v>130</v>
      </c>
      <c r="C20" s="178"/>
      <c r="D20" s="178"/>
      <c r="E20" s="178"/>
      <c r="F20" s="178"/>
      <c r="G20" s="178"/>
      <c r="H20" s="178"/>
      <c r="I20" s="178"/>
      <c r="J20" s="178"/>
    </row>
    <row r="21" spans="2:10">
      <c r="B21" s="8">
        <v>5</v>
      </c>
      <c r="C21" s="21" t="s">
        <v>118</v>
      </c>
      <c r="D21" s="8" t="s">
        <v>11</v>
      </c>
      <c r="E21" s="8" t="s">
        <v>11</v>
      </c>
      <c r="F21" s="8" t="s">
        <v>11</v>
      </c>
      <c r="G21" s="8" t="s">
        <v>11</v>
      </c>
      <c r="H21" s="8" t="s">
        <v>11</v>
      </c>
      <c r="I21" s="8" t="s">
        <v>11</v>
      </c>
      <c r="J21" s="8" t="s">
        <v>11</v>
      </c>
    </row>
    <row r="22" spans="2:10" s="6" customFormat="1">
      <c r="B22" s="8">
        <v>5.0999999999999996</v>
      </c>
      <c r="C22" s="88" t="s">
        <v>124</v>
      </c>
      <c r="D22" s="87" t="s">
        <v>117</v>
      </c>
      <c r="E22" s="85" t="s">
        <v>11</v>
      </c>
      <c r="F22" s="85" t="s">
        <v>11</v>
      </c>
      <c r="G22" s="85" t="s">
        <v>11</v>
      </c>
      <c r="H22" s="85">
        <v>1</v>
      </c>
      <c r="I22" s="59">
        <v>68675</v>
      </c>
      <c r="J22" s="41">
        <f>H22*I22</f>
        <v>68675</v>
      </c>
    </row>
    <row r="23" spans="2:10" s="6" customFormat="1">
      <c r="B23" s="8">
        <v>5.2</v>
      </c>
      <c r="C23" s="88" t="s">
        <v>123</v>
      </c>
      <c r="D23" s="87" t="s">
        <v>117</v>
      </c>
      <c r="E23" s="85" t="s">
        <v>11</v>
      </c>
      <c r="F23" s="85" t="s">
        <v>11</v>
      </c>
      <c r="G23" s="85" t="s">
        <v>11</v>
      </c>
      <c r="H23" s="85">
        <v>6</v>
      </c>
      <c r="I23" s="59">
        <v>17824</v>
      </c>
      <c r="J23" s="41">
        <f>H23*I23</f>
        <v>106944</v>
      </c>
    </row>
    <row r="24" spans="2:10" s="6" customFormat="1" ht="14.45" customHeight="1">
      <c r="B24" s="8">
        <v>5.3</v>
      </c>
      <c r="C24" s="88" t="s">
        <v>122</v>
      </c>
      <c r="D24" s="87" t="s">
        <v>117</v>
      </c>
      <c r="E24" s="85" t="s">
        <v>11</v>
      </c>
      <c r="F24" s="85" t="s">
        <v>11</v>
      </c>
      <c r="G24" s="85" t="s">
        <v>11</v>
      </c>
      <c r="H24" s="85">
        <v>2</v>
      </c>
      <c r="I24" s="59">
        <v>17000</v>
      </c>
      <c r="J24" s="41">
        <f>H24*I24</f>
        <v>34000</v>
      </c>
    </row>
    <row r="25" spans="2:10" s="6" customFormat="1">
      <c r="B25" s="8">
        <v>5.4</v>
      </c>
      <c r="C25" s="88" t="s">
        <v>125</v>
      </c>
      <c r="D25" s="87" t="s">
        <v>117</v>
      </c>
      <c r="E25" s="85" t="s">
        <v>11</v>
      </c>
      <c r="F25" s="85" t="s">
        <v>11</v>
      </c>
      <c r="G25" s="85" t="s">
        <v>11</v>
      </c>
      <c r="H25" s="85">
        <v>36</v>
      </c>
      <c r="I25" s="59">
        <v>15000</v>
      </c>
      <c r="J25" s="41">
        <f t="shared" ref="J25:J30" si="0">H25*I25</f>
        <v>540000</v>
      </c>
    </row>
    <row r="26" spans="2:10" s="6" customFormat="1">
      <c r="B26" s="8">
        <v>5.5</v>
      </c>
      <c r="C26" s="88" t="s">
        <v>126</v>
      </c>
      <c r="D26" s="87" t="s">
        <v>117</v>
      </c>
      <c r="E26" s="85" t="s">
        <v>11</v>
      </c>
      <c r="F26" s="85" t="s">
        <v>11</v>
      </c>
      <c r="G26" s="85" t="s">
        <v>11</v>
      </c>
      <c r="H26" s="85">
        <v>10</v>
      </c>
      <c r="I26" s="59">
        <v>16930</v>
      </c>
      <c r="J26" s="41">
        <f t="shared" si="0"/>
        <v>169300</v>
      </c>
    </row>
    <row r="27" spans="2:10" s="6" customFormat="1">
      <c r="B27" s="8">
        <v>5.6</v>
      </c>
      <c r="C27" s="88" t="s">
        <v>127</v>
      </c>
      <c r="D27" s="87" t="s">
        <v>117</v>
      </c>
      <c r="E27" s="85" t="s">
        <v>11</v>
      </c>
      <c r="F27" s="85" t="s">
        <v>11</v>
      </c>
      <c r="G27" s="85" t="s">
        <v>11</v>
      </c>
      <c r="H27" s="85">
        <v>2</v>
      </c>
      <c r="I27" s="59">
        <v>27081</v>
      </c>
      <c r="J27" s="41">
        <f t="shared" si="0"/>
        <v>54162</v>
      </c>
    </row>
    <row r="28" spans="2:10" s="6" customFormat="1">
      <c r="B28" s="8">
        <v>5.7</v>
      </c>
      <c r="C28" s="88" t="s">
        <v>114</v>
      </c>
      <c r="D28" s="87" t="s">
        <v>117</v>
      </c>
      <c r="E28" s="85" t="s">
        <v>11</v>
      </c>
      <c r="F28" s="85" t="s">
        <v>11</v>
      </c>
      <c r="G28" s="85" t="s">
        <v>11</v>
      </c>
      <c r="H28" s="85">
        <v>3</v>
      </c>
      <c r="I28" s="59">
        <v>24990</v>
      </c>
      <c r="J28" s="41">
        <f t="shared" si="0"/>
        <v>74970</v>
      </c>
    </row>
    <row r="29" spans="2:10" s="6" customFormat="1">
      <c r="B29" s="8">
        <v>5.8</v>
      </c>
      <c r="C29" s="88" t="s">
        <v>115</v>
      </c>
      <c r="D29" s="87" t="s">
        <v>117</v>
      </c>
      <c r="E29" s="85" t="s">
        <v>11</v>
      </c>
      <c r="F29" s="85" t="s">
        <v>11</v>
      </c>
      <c r="G29" s="85" t="s">
        <v>11</v>
      </c>
      <c r="H29" s="85">
        <v>53</v>
      </c>
      <c r="I29" s="59">
        <v>2400</v>
      </c>
      <c r="J29" s="41">
        <f t="shared" si="0"/>
        <v>127200</v>
      </c>
    </row>
    <row r="30" spans="2:10" s="6" customFormat="1" ht="15" thickBot="1">
      <c r="B30" s="71">
        <v>5.9</v>
      </c>
      <c r="C30" s="90" t="s">
        <v>116</v>
      </c>
      <c r="D30" s="89" t="s">
        <v>117</v>
      </c>
      <c r="E30" s="86" t="s">
        <v>11</v>
      </c>
      <c r="F30" s="86" t="s">
        <v>11</v>
      </c>
      <c r="G30" s="86" t="s">
        <v>11</v>
      </c>
      <c r="H30" s="86">
        <v>13</v>
      </c>
      <c r="I30" s="60">
        <v>3590</v>
      </c>
      <c r="J30" s="42">
        <f t="shared" si="0"/>
        <v>46670</v>
      </c>
    </row>
    <row r="31" spans="2:10" s="6" customFormat="1" ht="16.5" thickBot="1">
      <c r="B31" s="172" t="s">
        <v>133</v>
      </c>
      <c r="C31" s="173"/>
      <c r="D31" s="173"/>
      <c r="E31" s="173"/>
      <c r="F31" s="173"/>
      <c r="G31" s="173"/>
      <c r="H31" s="173"/>
      <c r="I31" s="173"/>
      <c r="J31" s="83">
        <f>SUM(J22:J30)</f>
        <v>1221921</v>
      </c>
    </row>
    <row r="32" spans="2:10" s="6" customFormat="1" ht="15.75" thickBot="1">
      <c r="B32" s="80"/>
      <c r="C32" s="80"/>
      <c r="D32" s="80"/>
      <c r="E32" s="80"/>
      <c r="F32" s="80"/>
      <c r="G32" s="80"/>
      <c r="H32" s="80"/>
      <c r="I32" s="80"/>
      <c r="J32" s="82"/>
    </row>
    <row r="33" spans="2:10" s="6" customFormat="1" ht="18.75" thickBot="1">
      <c r="B33" s="165" t="s">
        <v>101</v>
      </c>
      <c r="C33" s="165"/>
      <c r="D33" s="165"/>
      <c r="E33" s="165"/>
      <c r="F33" s="165"/>
      <c r="G33" s="165"/>
      <c r="H33" s="165"/>
      <c r="I33" s="165"/>
      <c r="J33" s="91">
        <f>J8+J18+J12+J31</f>
        <v>3320919.5256719505</v>
      </c>
    </row>
    <row r="34" spans="2:10" s="6" customFormat="1" ht="18.75" thickBot="1">
      <c r="B34" s="186"/>
      <c r="C34" s="186"/>
      <c r="D34" s="186"/>
      <c r="E34" s="186"/>
      <c r="F34" s="186"/>
      <c r="G34" s="186"/>
      <c r="H34" s="186"/>
      <c r="I34" s="186"/>
      <c r="J34" s="186"/>
    </row>
    <row r="35" spans="2:10" s="6" customFormat="1">
      <c r="B35" s="3"/>
      <c r="D35" s="5"/>
      <c r="I35" s="7"/>
      <c r="J35" s="5"/>
    </row>
    <row r="36" spans="2:10" s="6" customFormat="1">
      <c r="B36" s="3"/>
      <c r="D36" s="5"/>
      <c r="I36" s="7"/>
      <c r="J36" s="5"/>
    </row>
    <row r="37" spans="2:10" s="6" customFormat="1">
      <c r="B37" s="3"/>
      <c r="D37" s="5"/>
      <c r="I37" s="7"/>
      <c r="J37" s="5"/>
    </row>
    <row r="38" spans="2:10" s="6" customFormat="1">
      <c r="B38" s="3"/>
      <c r="D38" s="5"/>
      <c r="I38" s="7"/>
      <c r="J38" s="5"/>
    </row>
    <row r="39" spans="2:10" s="6" customFormat="1">
      <c r="B39" s="3"/>
      <c r="D39" s="5"/>
      <c r="I39" s="7"/>
      <c r="J39" s="5"/>
    </row>
    <row r="40" spans="2:10" s="6" customFormat="1">
      <c r="B40" s="3"/>
      <c r="D40" s="5"/>
      <c r="I40" s="7"/>
      <c r="J40" s="5"/>
    </row>
    <row r="41" spans="2:10" s="6" customFormat="1">
      <c r="B41" s="3"/>
      <c r="D41" s="5"/>
      <c r="I41" s="7"/>
      <c r="J41" s="5"/>
    </row>
    <row r="42" spans="2:10" s="6" customFormat="1">
      <c r="B42" s="3"/>
      <c r="D42" s="5"/>
      <c r="I42" s="7"/>
      <c r="J42" s="5"/>
    </row>
    <row r="43" spans="2:10" s="6" customFormat="1">
      <c r="B43" s="3"/>
      <c r="D43" s="5"/>
      <c r="I43" s="7"/>
      <c r="J43" s="5"/>
    </row>
    <row r="44" spans="2:10" s="6" customFormat="1">
      <c r="B44" s="3"/>
      <c r="D44" s="5"/>
      <c r="I44" s="7"/>
      <c r="J44" s="5"/>
    </row>
    <row r="45" spans="2:10" s="6" customFormat="1">
      <c r="B45" s="3"/>
      <c r="D45" s="5"/>
      <c r="I45" s="7"/>
      <c r="J45" s="5"/>
    </row>
    <row r="46" spans="2:10" s="6" customFormat="1">
      <c r="B46" s="3"/>
      <c r="D46" s="5"/>
      <c r="I46" s="7"/>
      <c r="J46" s="5"/>
    </row>
    <row r="47" spans="2:10" s="6" customFormat="1">
      <c r="B47" s="3"/>
      <c r="D47" s="5"/>
      <c r="I47" s="7"/>
      <c r="J47" s="5"/>
    </row>
    <row r="48" spans="2:10" s="6" customFormat="1">
      <c r="B48" s="3"/>
      <c r="D48" s="5"/>
      <c r="I48" s="7"/>
      <c r="J48" s="5"/>
    </row>
    <row r="49" spans="2:10" s="6" customFormat="1">
      <c r="B49" s="3"/>
      <c r="D49" s="5"/>
      <c r="I49" s="7"/>
      <c r="J49" s="5"/>
    </row>
    <row r="50" spans="2:10" s="6" customFormat="1">
      <c r="B50" s="3"/>
      <c r="D50" s="5"/>
      <c r="I50" s="7"/>
      <c r="J50" s="5"/>
    </row>
    <row r="51" spans="2:10" s="6" customFormat="1">
      <c r="B51" s="3"/>
      <c r="D51" s="5"/>
      <c r="I51" s="7"/>
      <c r="J51" s="5"/>
    </row>
    <row r="52" spans="2:10" s="6" customFormat="1">
      <c r="B52" s="3"/>
      <c r="D52" s="5"/>
      <c r="I52" s="7"/>
      <c r="J52" s="5"/>
    </row>
    <row r="53" spans="2:10" s="6" customFormat="1">
      <c r="B53" s="3"/>
      <c r="D53" s="5"/>
      <c r="I53" s="7"/>
      <c r="J53" s="5"/>
    </row>
    <row r="54" spans="2:10" s="6" customFormat="1">
      <c r="B54" s="3"/>
      <c r="D54" s="5"/>
      <c r="I54" s="7"/>
      <c r="J54" s="5"/>
    </row>
    <row r="55" spans="2:10" s="6" customFormat="1">
      <c r="B55" s="3"/>
      <c r="D55" s="5"/>
      <c r="I55" s="7"/>
      <c r="J55" s="5"/>
    </row>
    <row r="56" spans="2:10" s="6" customFormat="1">
      <c r="B56" s="3"/>
      <c r="D56" s="5"/>
      <c r="I56" s="7"/>
      <c r="J56" s="5"/>
    </row>
    <row r="57" spans="2:10" s="6" customFormat="1">
      <c r="B57" s="3"/>
      <c r="D57" s="5"/>
      <c r="I57" s="7"/>
      <c r="J57" s="5"/>
    </row>
  </sheetData>
  <mergeCells count="11">
    <mergeCell ref="B33:I33"/>
    <mergeCell ref="B34:J34"/>
    <mergeCell ref="B31:I31"/>
    <mergeCell ref="B2:C2"/>
    <mergeCell ref="B6:J6"/>
    <mergeCell ref="B15:J15"/>
    <mergeCell ref="B20:J20"/>
    <mergeCell ref="B8:I8"/>
    <mergeCell ref="B18:I18"/>
    <mergeCell ref="B10:J10"/>
    <mergeCell ref="B12:I1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70" zoomScaleNormal="70" workbookViewId="0">
      <pane ySplit="4" topLeftCell="A5" activePane="bottomLeft" state="frozen"/>
      <selection pane="bottomLeft"/>
    </sheetView>
  </sheetViews>
  <sheetFormatPr defaultColWidth="8.85546875" defaultRowHeight="15"/>
  <cols>
    <col min="1" max="1" width="2" style="94" customWidth="1"/>
    <col min="2" max="2" width="12.140625" style="94" bestFit="1" customWidth="1"/>
    <col min="3" max="3" width="75" style="95" bestFit="1" customWidth="1"/>
    <col min="4" max="4" width="21" style="95" bestFit="1" customWidth="1"/>
    <col min="5" max="5" width="10" style="95" bestFit="1" customWidth="1"/>
    <col min="6" max="6" width="8.42578125" style="95" bestFit="1" customWidth="1"/>
    <col min="7" max="7" width="9.42578125" style="95" customWidth="1"/>
    <col min="8" max="8" width="11.7109375" style="95" bestFit="1" customWidth="1"/>
    <col min="9" max="9" width="12.140625" style="95" bestFit="1" customWidth="1"/>
    <col min="10" max="10" width="16.28515625" style="95" bestFit="1" customWidth="1"/>
    <col min="11" max="11" width="13" style="95" hidden="1" customWidth="1"/>
    <col min="12" max="16384" width="8.85546875" style="94"/>
  </cols>
  <sheetData>
    <row r="1" spans="1:11">
      <c r="C1" s="94"/>
      <c r="D1" s="94"/>
      <c r="E1" s="94"/>
      <c r="F1" s="94"/>
      <c r="G1" s="94"/>
      <c r="H1" s="94"/>
      <c r="J1" s="94"/>
      <c r="K1" s="94"/>
    </row>
    <row r="2" spans="1:11" ht="20.25">
      <c r="B2" s="171" t="s">
        <v>166</v>
      </c>
      <c r="C2" s="171"/>
      <c r="D2" s="94"/>
      <c r="E2" s="94"/>
      <c r="F2" s="94"/>
      <c r="G2" s="94"/>
      <c r="H2" s="94"/>
      <c r="J2" s="94"/>
      <c r="K2" s="94"/>
    </row>
    <row r="3" spans="1:11">
      <c r="A3" s="109"/>
      <c r="B3" s="109"/>
      <c r="C3" s="109"/>
      <c r="D3" s="109"/>
      <c r="E3" s="109"/>
      <c r="F3" s="109"/>
      <c r="G3" s="109"/>
      <c r="H3" s="109"/>
      <c r="I3" s="110"/>
      <c r="J3" s="109"/>
      <c r="K3" s="109"/>
    </row>
    <row r="4" spans="1:11" ht="18">
      <c r="A4" s="109"/>
      <c r="B4" s="45" t="s">
        <v>35</v>
      </c>
      <c r="C4" s="46" t="s">
        <v>0</v>
      </c>
      <c r="D4" s="47" t="s">
        <v>69</v>
      </c>
      <c r="E4" s="47" t="s">
        <v>1</v>
      </c>
      <c r="F4" s="47" t="s">
        <v>2</v>
      </c>
      <c r="G4" s="45" t="s">
        <v>3</v>
      </c>
      <c r="H4" s="47" t="s">
        <v>4</v>
      </c>
      <c r="I4" s="45" t="s">
        <v>5</v>
      </c>
      <c r="J4" s="57" t="s">
        <v>6</v>
      </c>
      <c r="K4" s="45" t="s">
        <v>7</v>
      </c>
    </row>
    <row r="5" spans="1:11" ht="18">
      <c r="A5" s="109"/>
      <c r="B5" s="111"/>
      <c r="C5" s="112"/>
      <c r="D5" s="111"/>
      <c r="E5" s="111"/>
      <c r="F5" s="111"/>
      <c r="G5" s="111"/>
      <c r="H5" s="111"/>
      <c r="I5" s="111"/>
      <c r="J5" s="111"/>
      <c r="K5" s="111"/>
    </row>
    <row r="6" spans="1:11" ht="18">
      <c r="B6" s="174" t="str">
        <f>UPPER("Sub Grade Preparation")</f>
        <v>SUB GRADE PREPARATION</v>
      </c>
      <c r="C6" s="175"/>
      <c r="D6" s="175"/>
      <c r="E6" s="175"/>
      <c r="F6" s="175"/>
      <c r="G6" s="175"/>
      <c r="H6" s="175"/>
      <c r="I6" s="175"/>
      <c r="J6" s="175"/>
      <c r="K6" s="176"/>
    </row>
    <row r="7" spans="1:11" ht="71.25">
      <c r="B7" s="8">
        <v>1</v>
      </c>
      <c r="C7" s="9" t="s">
        <v>149</v>
      </c>
      <c r="D7" s="8" t="s">
        <v>13</v>
      </c>
      <c r="E7" s="8">
        <v>180</v>
      </c>
      <c r="F7" s="8">
        <v>4.0250000000000004</v>
      </c>
      <c r="G7" s="96" t="s">
        <v>11</v>
      </c>
      <c r="H7" s="8">
        <f>F7*E7</f>
        <v>724.50000000000011</v>
      </c>
      <c r="I7" s="97">
        <v>180.5</v>
      </c>
      <c r="J7" s="97">
        <f>I7*H7</f>
        <v>130772.25000000001</v>
      </c>
      <c r="K7" s="8"/>
    </row>
    <row r="8" spans="1:11" ht="15.75" thickBot="1">
      <c r="B8" s="8">
        <v>2</v>
      </c>
      <c r="C8" s="9" t="s">
        <v>150</v>
      </c>
      <c r="D8" s="8" t="s">
        <v>37</v>
      </c>
      <c r="E8" s="8">
        <v>180</v>
      </c>
      <c r="F8" s="96" t="s">
        <v>11</v>
      </c>
      <c r="G8" s="96" t="s">
        <v>11</v>
      </c>
      <c r="H8" s="96" t="s">
        <v>11</v>
      </c>
      <c r="I8" s="97">
        <v>179.5</v>
      </c>
      <c r="J8" s="97">
        <f>I8*E8</f>
        <v>32310</v>
      </c>
      <c r="K8" s="8"/>
    </row>
    <row r="9" spans="1:11" ht="16.5" thickBot="1">
      <c r="B9" s="172" t="s">
        <v>162</v>
      </c>
      <c r="C9" s="173"/>
      <c r="D9" s="173"/>
      <c r="E9" s="173"/>
      <c r="F9" s="173"/>
      <c r="G9" s="173"/>
      <c r="H9" s="173"/>
      <c r="I9" s="185"/>
      <c r="J9" s="61">
        <f>J7+J8</f>
        <v>163082.25</v>
      </c>
      <c r="K9" s="71"/>
    </row>
    <row r="10" spans="1:11" s="99" customFormat="1">
      <c r="B10" s="188"/>
      <c r="C10" s="188"/>
      <c r="D10" s="188"/>
      <c r="E10" s="188"/>
      <c r="F10" s="188"/>
      <c r="G10" s="188"/>
      <c r="H10" s="188"/>
      <c r="I10" s="188"/>
      <c r="J10" s="188"/>
      <c r="K10" s="98"/>
    </row>
    <row r="11" spans="1:11" ht="18">
      <c r="B11" s="174" t="s">
        <v>151</v>
      </c>
      <c r="C11" s="175"/>
      <c r="D11" s="175"/>
      <c r="E11" s="175"/>
      <c r="F11" s="175"/>
      <c r="G11" s="175"/>
      <c r="H11" s="175"/>
      <c r="I11" s="175"/>
      <c r="J11" s="175"/>
      <c r="K11" s="176"/>
    </row>
    <row r="12" spans="1:11" ht="85.5">
      <c r="B12" s="8">
        <v>3</v>
      </c>
      <c r="C12" s="9" t="s">
        <v>152</v>
      </c>
      <c r="D12" s="8" t="s">
        <v>9</v>
      </c>
      <c r="E12" s="8">
        <v>180</v>
      </c>
      <c r="F12" s="8">
        <v>4.0250000000000004</v>
      </c>
      <c r="G12" s="8">
        <v>0.15</v>
      </c>
      <c r="H12" s="8">
        <f>G12*F12*E12</f>
        <v>108.675</v>
      </c>
      <c r="I12" s="97">
        <v>865.8</v>
      </c>
      <c r="J12" s="97">
        <f>H12*I12</f>
        <v>94090.814999999988</v>
      </c>
      <c r="K12" s="8"/>
    </row>
    <row r="13" spans="1:11" ht="99.75">
      <c r="B13" s="8">
        <v>4</v>
      </c>
      <c r="C13" s="9" t="s">
        <v>224</v>
      </c>
      <c r="D13" s="8" t="s">
        <v>9</v>
      </c>
      <c r="E13" s="8">
        <v>180</v>
      </c>
      <c r="F13" s="8">
        <v>4.0250000000000004</v>
      </c>
      <c r="G13" s="8">
        <v>0.15</v>
      </c>
      <c r="H13" s="8">
        <f>E13*F13*G13</f>
        <v>108.67500000000001</v>
      </c>
      <c r="I13" s="97">
        <v>2612.9499999999998</v>
      </c>
      <c r="J13" s="97">
        <f>H13*I13</f>
        <v>283962.34125</v>
      </c>
      <c r="K13" s="8"/>
    </row>
    <row r="14" spans="1:11" ht="129" thickBot="1">
      <c r="B14" s="8">
        <v>5</v>
      </c>
      <c r="C14" s="9" t="s">
        <v>153</v>
      </c>
      <c r="D14" s="8" t="s">
        <v>9</v>
      </c>
      <c r="E14" s="71">
        <v>180</v>
      </c>
      <c r="F14" s="71">
        <v>4.0250000000000004</v>
      </c>
      <c r="G14" s="71">
        <v>7.4999999999999997E-2</v>
      </c>
      <c r="H14" s="8">
        <f>G14*F14*E14</f>
        <v>54.337499999999999</v>
      </c>
      <c r="I14" s="100">
        <v>4130.55</v>
      </c>
      <c r="J14" s="97">
        <f>I14*H14</f>
        <v>224443.760625</v>
      </c>
      <c r="K14" s="71"/>
    </row>
    <row r="15" spans="1:11" ht="16.5" thickBot="1">
      <c r="B15" s="172" t="s">
        <v>163</v>
      </c>
      <c r="C15" s="173"/>
      <c r="D15" s="173"/>
      <c r="E15" s="173"/>
      <c r="F15" s="173"/>
      <c r="G15" s="173"/>
      <c r="H15" s="173"/>
      <c r="I15" s="185"/>
      <c r="J15" s="61">
        <f>J12+J13+J14</f>
        <v>602496.916875</v>
      </c>
      <c r="K15" s="71"/>
    </row>
    <row r="16" spans="1:11" s="99" customFormat="1">
      <c r="B16" s="188"/>
      <c r="C16" s="188"/>
      <c r="D16" s="188"/>
      <c r="E16" s="188"/>
      <c r="F16" s="188"/>
      <c r="G16" s="188"/>
      <c r="H16" s="188"/>
      <c r="I16" s="188"/>
      <c r="J16" s="188"/>
      <c r="K16" s="98"/>
    </row>
    <row r="17" spans="2:11" ht="18">
      <c r="B17" s="174" t="s">
        <v>154</v>
      </c>
      <c r="C17" s="175"/>
      <c r="D17" s="175"/>
      <c r="E17" s="175"/>
      <c r="F17" s="175"/>
      <c r="G17" s="175"/>
      <c r="H17" s="175"/>
      <c r="I17" s="175"/>
      <c r="J17" s="175"/>
      <c r="K17" s="176"/>
    </row>
    <row r="18" spans="2:11" ht="85.5">
      <c r="B18" s="71">
        <v>6</v>
      </c>
      <c r="C18" s="101" t="s">
        <v>155</v>
      </c>
      <c r="D18" s="71" t="s">
        <v>9</v>
      </c>
      <c r="E18" s="71">
        <v>180</v>
      </c>
      <c r="F18" s="71">
        <v>4.0250000000000004</v>
      </c>
      <c r="G18" s="71">
        <v>0.3</v>
      </c>
      <c r="H18" s="71">
        <f>G18*F18*E18</f>
        <v>217.35</v>
      </c>
      <c r="I18" s="102">
        <v>8277.5499999999993</v>
      </c>
      <c r="J18" s="103">
        <f t="shared" ref="J18:J25" si="0">I18*H18</f>
        <v>1799125.4924999997</v>
      </c>
      <c r="K18" s="71"/>
    </row>
    <row r="19" spans="2:11" ht="99.75">
      <c r="B19" s="71">
        <v>7</v>
      </c>
      <c r="C19" s="9" t="s">
        <v>156</v>
      </c>
      <c r="D19" s="75" t="s">
        <v>157</v>
      </c>
      <c r="E19" s="8">
        <v>180</v>
      </c>
      <c r="F19" s="96">
        <v>0</v>
      </c>
      <c r="G19" s="96">
        <v>0</v>
      </c>
      <c r="H19" s="8">
        <v>127</v>
      </c>
      <c r="I19" s="100">
        <v>4.7</v>
      </c>
      <c r="J19" s="97">
        <f t="shared" si="0"/>
        <v>596.9</v>
      </c>
      <c r="K19" s="8"/>
    </row>
    <row r="20" spans="2:11" ht="57.75" thickBot="1">
      <c r="B20" s="104">
        <v>7.1</v>
      </c>
      <c r="C20" s="21" t="s">
        <v>158</v>
      </c>
      <c r="D20" s="8" t="s">
        <v>12</v>
      </c>
      <c r="E20" s="96">
        <v>180</v>
      </c>
      <c r="F20" s="96">
        <v>0</v>
      </c>
      <c r="G20" s="96">
        <v>0</v>
      </c>
      <c r="H20" s="8">
        <v>8426</v>
      </c>
      <c r="I20" s="100">
        <v>62</v>
      </c>
      <c r="J20" s="100">
        <f t="shared" si="0"/>
        <v>522412</v>
      </c>
      <c r="K20" s="19" t="s">
        <v>159</v>
      </c>
    </row>
    <row r="21" spans="2:11" ht="16.5" thickBot="1">
      <c r="B21" s="172" t="s">
        <v>164</v>
      </c>
      <c r="C21" s="173"/>
      <c r="D21" s="173"/>
      <c r="E21" s="173"/>
      <c r="F21" s="173"/>
      <c r="G21" s="173"/>
      <c r="H21" s="173"/>
      <c r="I21" s="185"/>
      <c r="J21" s="61">
        <f>J18+J19+J20</f>
        <v>2322134.3924999996</v>
      </c>
      <c r="K21" s="105"/>
    </row>
    <row r="22" spans="2:11" s="99" customFormat="1">
      <c r="B22" s="188"/>
      <c r="C22" s="188"/>
      <c r="D22" s="188"/>
      <c r="E22" s="188"/>
      <c r="F22" s="188"/>
      <c r="G22" s="188"/>
      <c r="H22" s="188"/>
      <c r="I22" s="188"/>
      <c r="J22" s="188"/>
      <c r="K22" s="188"/>
    </row>
    <row r="23" spans="2:11" ht="18">
      <c r="B23" s="174" t="s">
        <v>170</v>
      </c>
      <c r="C23" s="175"/>
      <c r="D23" s="175"/>
      <c r="E23" s="175"/>
      <c r="F23" s="175"/>
      <c r="G23" s="175"/>
      <c r="H23" s="175"/>
      <c r="I23" s="175"/>
      <c r="J23" s="175"/>
      <c r="K23" s="176"/>
    </row>
    <row r="24" spans="2:11" ht="85.5">
      <c r="B24" s="71">
        <v>8</v>
      </c>
      <c r="C24" s="9" t="s">
        <v>160</v>
      </c>
      <c r="D24" s="8" t="s">
        <v>13</v>
      </c>
      <c r="E24" s="8">
        <v>180</v>
      </c>
      <c r="F24" s="8">
        <v>0.9</v>
      </c>
      <c r="G24" s="96">
        <v>0</v>
      </c>
      <c r="H24" s="8">
        <f>F24*E24</f>
        <v>162</v>
      </c>
      <c r="I24" s="100">
        <v>951</v>
      </c>
      <c r="J24" s="106">
        <f t="shared" si="0"/>
        <v>154062</v>
      </c>
      <c r="K24" s="8"/>
    </row>
    <row r="25" spans="2:11" ht="114.75" thickBot="1">
      <c r="B25" s="71">
        <v>9</v>
      </c>
      <c r="C25" s="9" t="s">
        <v>161</v>
      </c>
      <c r="D25" s="8" t="s">
        <v>9</v>
      </c>
      <c r="E25" s="8">
        <v>180</v>
      </c>
      <c r="F25" s="8">
        <v>0.2</v>
      </c>
      <c r="G25" s="8">
        <v>0.1</v>
      </c>
      <c r="H25" s="8">
        <f>G25*F25*E25</f>
        <v>3.6000000000000005</v>
      </c>
      <c r="I25" s="100">
        <v>8613.5499999999993</v>
      </c>
      <c r="J25" s="100">
        <f t="shared" si="0"/>
        <v>31008.780000000002</v>
      </c>
      <c r="K25" s="8"/>
    </row>
    <row r="26" spans="2:11" ht="16.5" thickBot="1">
      <c r="B26" s="172" t="s">
        <v>165</v>
      </c>
      <c r="C26" s="173"/>
      <c r="D26" s="173"/>
      <c r="E26" s="173"/>
      <c r="F26" s="173"/>
      <c r="G26" s="173"/>
      <c r="H26" s="173"/>
      <c r="I26" s="185"/>
      <c r="J26" s="61">
        <f>J24+J25</f>
        <v>185070.78</v>
      </c>
      <c r="K26" s="71"/>
    </row>
    <row r="27" spans="2:11" s="99" customFormat="1" ht="15.75" thickBot="1">
      <c r="B27" s="32"/>
      <c r="C27" s="107"/>
      <c r="D27" s="32"/>
      <c r="E27" s="32"/>
      <c r="F27" s="32"/>
      <c r="G27" s="32"/>
      <c r="H27" s="32"/>
      <c r="I27" s="108"/>
      <c r="J27" s="108"/>
      <c r="K27" s="32"/>
    </row>
    <row r="28" spans="2:11" s="99" customFormat="1" ht="18.75" thickBot="1">
      <c r="B28" s="187" t="s">
        <v>101</v>
      </c>
      <c r="C28" s="187"/>
      <c r="D28" s="187"/>
      <c r="E28" s="187"/>
      <c r="F28" s="187"/>
      <c r="G28" s="187"/>
      <c r="H28" s="187"/>
      <c r="I28" s="187"/>
      <c r="J28" s="91">
        <f>J9+J15+J21+J26</f>
        <v>3272784.3393749995</v>
      </c>
      <c r="K28" s="32"/>
    </row>
  </sheetData>
  <mergeCells count="13">
    <mergeCell ref="B2:C2"/>
    <mergeCell ref="B28:I28"/>
    <mergeCell ref="B23:K23"/>
    <mergeCell ref="B9:I9"/>
    <mergeCell ref="B15:I15"/>
    <mergeCell ref="B21:I21"/>
    <mergeCell ref="B26:I26"/>
    <mergeCell ref="B6:K6"/>
    <mergeCell ref="B10:J10"/>
    <mergeCell ref="B11:K11"/>
    <mergeCell ref="B16:J16"/>
    <mergeCell ref="B17:K17"/>
    <mergeCell ref="B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 of BOQ</vt:lpstr>
      <vt:lpstr>Dismantling Works</vt:lpstr>
      <vt:lpstr>BOQ Female toilet and Store</vt:lpstr>
      <vt:lpstr>BOQ for Male Toilet</vt:lpstr>
      <vt:lpstr>BOQ For Office works</vt:lpstr>
      <vt:lpstr>BOQ For Rigid Pavement</vt:lpstr>
      <vt:lpstr>'Summary of BOQ'!Print_Area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 Bharadwaj</dc:creator>
  <cp:lastModifiedBy>Tejas Bharadwaj</cp:lastModifiedBy>
  <cp:lastPrinted>2022-02-02T12:40:22Z</cp:lastPrinted>
  <dcterms:created xsi:type="dcterms:W3CDTF">2022-01-08T06:37:08Z</dcterms:created>
  <dcterms:modified xsi:type="dcterms:W3CDTF">2022-02-11T05:52:11Z</dcterms:modified>
</cp:coreProperties>
</file>