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In Progress Files\Zaid Ebne Mairaj\kolkata\uploads\final\"/>
    </mc:Choice>
  </mc:AlternateContent>
  <bookViews>
    <workbookView xWindow="0" yWindow="0" windowWidth="24000" windowHeight="9135" tabRatio="867"/>
  </bookViews>
  <sheets>
    <sheet name="ASSUMPTIONS" sheetId="18" r:id="rId1"/>
    <sheet name="Absorption Rate" sheetId="9" r:id="rId2"/>
    <sheet name="Residential Inflow" sheetId="3" r:id="rId3"/>
    <sheet name="Inflow" sheetId="11" r:id="rId4"/>
    <sheet name="Total Outflow" sheetId="16" r:id="rId5"/>
    <sheet name="DCF" sheetId="7" r:id="rId6"/>
    <sheet name="Consolidated Summary" sheetId="12" r:id="rId7"/>
    <sheet name="as per tir" sheetId="19" r:id="rId8"/>
  </sheets>
  <definedNames>
    <definedName name="_xlnm._FilterDatabase" localSheetId="2" hidden="1">'Residential Inflow'!$B$3:$F$5</definedName>
  </definedNames>
  <calcPr calcId="152511"/>
</workbook>
</file>

<file path=xl/calcChain.xml><?xml version="1.0" encoding="utf-8"?>
<calcChain xmlns="http://schemas.openxmlformats.org/spreadsheetml/2006/main">
  <c r="D29" i="7" l="1"/>
  <c r="F14" i="16"/>
  <c r="K49" i="18"/>
  <c r="K46" i="18"/>
  <c r="K43" i="18"/>
  <c r="K11" i="19" l="1"/>
  <c r="L11" i="19"/>
  <c r="L8" i="19"/>
  <c r="L9" i="19"/>
  <c r="L10" i="19"/>
  <c r="L7" i="19"/>
  <c r="K36" i="18" l="1"/>
  <c r="G53" i="18" s="1"/>
  <c r="G57" i="18" s="1"/>
  <c r="P29" i="7"/>
  <c r="H7" i="12" l="1"/>
  <c r="H5" i="12"/>
  <c r="H11" i="11"/>
  <c r="G23" i="7"/>
  <c r="F4" i="9" l="1"/>
  <c r="F5" i="9" s="1"/>
  <c r="E13" i="11" l="1"/>
  <c r="F12" i="11"/>
  <c r="G12" i="11" l="1"/>
  <c r="F13" i="11"/>
  <c r="G8" i="18"/>
  <c r="G9" i="18" s="1"/>
  <c r="G10" i="18" s="1"/>
  <c r="I12" i="18" s="1"/>
  <c r="F7" i="9" l="1"/>
  <c r="H10" i="11" s="1"/>
  <c r="D7" i="9"/>
  <c r="C7" i="9"/>
  <c r="E7" i="9"/>
  <c r="E13" i="16"/>
  <c r="G13" i="16" s="1"/>
  <c r="D17" i="7" s="1"/>
  <c r="G13" i="11"/>
  <c r="H13" i="11" s="1"/>
  <c r="H14" i="11" s="1"/>
  <c r="H15" i="11" s="1"/>
  <c r="G8" i="7" s="1"/>
  <c r="G10" i="7" s="1"/>
  <c r="E10" i="11"/>
  <c r="D4" i="3"/>
  <c r="F10" i="11"/>
  <c r="F14" i="11" s="1"/>
  <c r="K7" i="16"/>
  <c r="E9" i="16"/>
  <c r="E17" i="7" l="1"/>
  <c r="F17" i="7"/>
  <c r="G7" i="9"/>
  <c r="G25" i="7"/>
  <c r="H6" i="12"/>
  <c r="H9" i="12" s="1"/>
  <c r="E10" i="16"/>
  <c r="G10" i="16" s="1"/>
  <c r="D20" i="7" s="1"/>
  <c r="E12" i="16"/>
  <c r="E11" i="16"/>
  <c r="H17" i="7" l="1"/>
  <c r="G11" i="16"/>
  <c r="E14" i="16"/>
  <c r="E20" i="7"/>
  <c r="F20" i="7"/>
  <c r="E14" i="11"/>
  <c r="E15" i="11" s="1"/>
  <c r="G10" i="11"/>
  <c r="G14" i="11" s="1"/>
  <c r="H20" i="7" l="1"/>
  <c r="F16" i="7"/>
  <c r="D16" i="7"/>
  <c r="E16" i="7"/>
  <c r="H16" i="7" l="1"/>
  <c r="G9" i="16"/>
  <c r="E11" i="11"/>
  <c r="D15" i="7" l="1"/>
  <c r="F15" i="7"/>
  <c r="E15" i="7"/>
  <c r="G11" i="11"/>
  <c r="F11" i="11"/>
  <c r="H15" i="7" l="1"/>
  <c r="D4" i="7"/>
  <c r="E9" i="11"/>
  <c r="D5" i="7" s="1"/>
  <c r="E5" i="12" s="1"/>
  <c r="F8" i="11"/>
  <c r="F9" i="11" s="1"/>
  <c r="E5" i="7" s="1"/>
  <c r="F5" i="12" s="1"/>
  <c r="C5" i="9"/>
  <c r="D4" i="9"/>
  <c r="D5" i="9" s="1"/>
  <c r="E4" i="7" l="1"/>
  <c r="D5" i="3"/>
  <c r="F4" i="3"/>
  <c r="K9" i="3" s="1"/>
  <c r="G8" i="11"/>
  <c r="H8" i="11" s="1"/>
  <c r="E4" i="9"/>
  <c r="H9" i="11" l="1"/>
  <c r="G5" i="7" s="1"/>
  <c r="G4" i="7"/>
  <c r="G9" i="11"/>
  <c r="F5" i="7" s="1"/>
  <c r="G5" i="12" s="1"/>
  <c r="F4" i="7"/>
  <c r="E5" i="9"/>
  <c r="F5" i="3" l="1"/>
  <c r="F15" i="11" l="1"/>
  <c r="G15" i="11"/>
  <c r="D8" i="7" l="1"/>
  <c r="D10" i="7" s="1"/>
  <c r="E8" i="7"/>
  <c r="F8" i="7"/>
  <c r="F10" i="7" s="1"/>
  <c r="E10" i="7" l="1"/>
  <c r="H10" i="7" s="1"/>
  <c r="H8" i="7"/>
  <c r="E6" i="12"/>
  <c r="G6" i="12"/>
  <c r="F6" i="12"/>
  <c r="I6" i="12" l="1"/>
  <c r="J8" i="7"/>
  <c r="G12" i="16" l="1"/>
  <c r="D21" i="7" l="1"/>
  <c r="F21" i="7"/>
  <c r="F23" i="7" s="1"/>
  <c r="G14" i="16"/>
  <c r="I17" i="18" s="1"/>
  <c r="E21" i="7"/>
  <c r="D23" i="7"/>
  <c r="H21" i="7" l="1"/>
  <c r="I15" i="18"/>
  <c r="D25" i="7"/>
  <c r="E23" i="7"/>
  <c r="E25" i="7" s="1"/>
  <c r="E7" i="12"/>
  <c r="F25" i="7"/>
  <c r="G7" i="12"/>
  <c r="G9" i="12" s="1"/>
  <c r="F7" i="12" l="1"/>
  <c r="F9" i="12" s="1"/>
  <c r="D27" i="7"/>
  <c r="E11" i="12" s="1"/>
  <c r="E12" i="12" s="1"/>
  <c r="H23" i="7"/>
  <c r="H25" i="7" s="1"/>
  <c r="E9" i="12"/>
  <c r="I7" i="12"/>
  <c r="I9" i="12" s="1"/>
  <c r="J27" i="7"/>
  <c r="E14" i="12" l="1"/>
  <c r="E15" i="12"/>
</calcChain>
</file>

<file path=xl/sharedStrings.xml><?xml version="1.0" encoding="utf-8"?>
<sst xmlns="http://schemas.openxmlformats.org/spreadsheetml/2006/main" count="165" uniqueCount="142">
  <si>
    <t>S.No.</t>
  </si>
  <si>
    <t>Flat Type</t>
  </si>
  <si>
    <t>CASHFLOWS</t>
  </si>
  <si>
    <t>Year</t>
  </si>
  <si>
    <t>Expenses (outgoings)</t>
  </si>
  <si>
    <t>CAPEX</t>
  </si>
  <si>
    <t>OPEX</t>
  </si>
  <si>
    <t>Discount Rate</t>
  </si>
  <si>
    <t>Total</t>
  </si>
  <si>
    <t>Important Notes:</t>
  </si>
  <si>
    <t>Project Details</t>
  </si>
  <si>
    <t>4. The total Value of inventory to be sold each year as shown above is in Millions Rupees.</t>
  </si>
  <si>
    <t xml:space="preserve">PROJECT INFLOW MODEL </t>
  </si>
  <si>
    <t>Important Notes:-</t>
  </si>
  <si>
    <t>Market Value</t>
  </si>
  <si>
    <r>
      <t xml:space="preserve">Adopted Market Rates 
</t>
    </r>
    <r>
      <rPr>
        <i/>
        <sz val="11"/>
        <color theme="0"/>
        <rFont val="Calibri"/>
        <family val="2"/>
        <scheme val="minor"/>
      </rPr>
      <t>(per sq.ft.)</t>
    </r>
  </si>
  <si>
    <t xml:space="preserve"> </t>
  </si>
  <si>
    <t>`</t>
  </si>
  <si>
    <r>
      <t xml:space="preserve">CASH FLOW SUMMATION
</t>
    </r>
    <r>
      <rPr>
        <i/>
        <sz val="10"/>
        <color theme="0"/>
        <rFont val="Calibri"/>
        <family val="2"/>
        <scheme val="minor"/>
      </rPr>
      <t>(in Million Rupees)</t>
    </r>
  </si>
  <si>
    <r>
      <t xml:space="preserve">INFLOW </t>
    </r>
    <r>
      <rPr>
        <i/>
        <sz val="10"/>
        <color theme="1"/>
        <rFont val="Calibri"/>
        <family val="2"/>
        <scheme val="minor"/>
      </rPr>
      <t>(In Million Rupees)</t>
    </r>
  </si>
  <si>
    <r>
      <t xml:space="preserve">OUTFLOW </t>
    </r>
    <r>
      <rPr>
        <i/>
        <sz val="10"/>
        <color theme="1"/>
        <rFont val="Calibri"/>
        <family val="2"/>
        <scheme val="minor"/>
      </rPr>
      <t>(In Million Rupees)</t>
    </r>
  </si>
  <si>
    <r>
      <t xml:space="preserve">NET PROJECT CASH INFLOW </t>
    </r>
    <r>
      <rPr>
        <i/>
        <sz val="10"/>
        <color theme="1"/>
        <rFont val="Calibri"/>
        <family val="2"/>
        <scheme val="minor"/>
      </rPr>
      <t>(In Million Rupees)</t>
    </r>
  </si>
  <si>
    <r>
      <t xml:space="preserve">Net Present Value (NPV)-A </t>
    </r>
    <r>
      <rPr>
        <i/>
        <sz val="10"/>
        <color theme="1"/>
        <rFont val="Calibri"/>
        <family val="2"/>
        <scheme val="minor"/>
      </rPr>
      <t>(In Million Rupees)</t>
    </r>
  </si>
  <si>
    <r>
      <t xml:space="preserve">Round Off Value-A
</t>
    </r>
    <r>
      <rPr>
        <i/>
        <sz val="10"/>
        <color theme="1"/>
        <rFont val="Calibri"/>
        <family val="2"/>
        <scheme val="minor"/>
      </rPr>
      <t>(In Million Rupees)</t>
    </r>
  </si>
  <si>
    <r>
      <t xml:space="preserve">EXPECTED REALIZABLE VALUE^ (@ ~15% less)
</t>
    </r>
    <r>
      <rPr>
        <i/>
        <sz val="10"/>
        <color theme="1"/>
        <rFont val="Calibri"/>
        <family val="2"/>
        <scheme val="minor"/>
      </rPr>
      <t>(In Million Rupees)</t>
    </r>
  </si>
  <si>
    <r>
      <t xml:space="preserve">EXPECTED DISTRESS VALUE* (@ ~25% less)
</t>
    </r>
    <r>
      <rPr>
        <i/>
        <sz val="10"/>
        <color theme="1"/>
        <rFont val="Calibri"/>
        <family val="2"/>
        <scheme val="minor"/>
      </rPr>
      <t>(In Million Rupees)</t>
    </r>
  </si>
  <si>
    <t>3. The Capital Expenditure (CAPEX) of the project has been taken from the information provided by the company which is relied upon in good faith.</t>
  </si>
  <si>
    <t>Total Market Value</t>
  </si>
  <si>
    <t>Tower</t>
  </si>
  <si>
    <r>
      <t xml:space="preserve">Total Super Area </t>
    </r>
    <r>
      <rPr>
        <i/>
        <sz val="11"/>
        <color theme="0"/>
        <rFont val="Calibri"/>
        <family val="2"/>
        <scheme val="minor"/>
      </rPr>
      <t>(sq.ft.)</t>
    </r>
  </si>
  <si>
    <t>No. of units</t>
  </si>
  <si>
    <t>Construction Cost</t>
  </si>
  <si>
    <t>Debt</t>
  </si>
  <si>
    <t>Equity</t>
  </si>
  <si>
    <t>WACC</t>
  </si>
  <si>
    <r>
      <t xml:space="preserve">Net Present Value (NPV) </t>
    </r>
    <r>
      <rPr>
        <i/>
        <sz val="11"/>
        <color theme="1"/>
        <rFont val="Calibri"/>
        <family val="2"/>
        <scheme val="minor"/>
      </rPr>
      <t>(in Mn)</t>
    </r>
  </si>
  <si>
    <t>1. The construction of the subject project is under initial stage and foundation work is in progress</t>
  </si>
  <si>
    <t>UNBOOKED INVENTORY VALUATION | RISHI PRANYA (PHASE-I) | JL NO. 40, MOUZA KALIKAPUR, P.O &amp; P.S. - RAJARHAT, KOLKATA-700135, DISTRICT-NORTH 24 PARGANAS, WEST BENGAL</t>
  </si>
  <si>
    <t>Administrative Cost</t>
  </si>
  <si>
    <t>Finance Charges</t>
  </si>
  <si>
    <t>Marketing Expenses</t>
  </si>
  <si>
    <t>Total Built-Up Area of Rishi Pranya (Phase-I)
(in sq.mtr.)</t>
  </si>
  <si>
    <t>Total Built-Up Area of Rishi Pranya (Phase-I)
(in sq.ft.)</t>
  </si>
  <si>
    <r>
      <t xml:space="preserve">Administrative Expenses </t>
    </r>
    <r>
      <rPr>
        <i/>
        <sz val="11"/>
        <color theme="1"/>
        <rFont val="Calibri"/>
        <family val="2"/>
        <scheme val="minor"/>
      </rPr>
      <t>(in Mn)</t>
    </r>
  </si>
  <si>
    <r>
      <t xml:space="preserve">Marketing Expenses </t>
    </r>
    <r>
      <rPr>
        <i/>
        <sz val="11"/>
        <color theme="1"/>
        <rFont val="Calibri"/>
        <family val="2"/>
        <scheme val="minor"/>
      </rPr>
      <t>(in Mn)</t>
    </r>
  </si>
  <si>
    <r>
      <t xml:space="preserve">Construction Cost </t>
    </r>
    <r>
      <rPr>
        <i/>
        <sz val="11"/>
        <color theme="1"/>
        <rFont val="Calibri"/>
        <family val="2"/>
        <scheme val="minor"/>
      </rPr>
      <t>(in Mn)</t>
    </r>
  </si>
  <si>
    <r>
      <t>Finance Charges</t>
    </r>
    <r>
      <rPr>
        <sz val="11"/>
        <color theme="1"/>
        <rFont val="Calibri"/>
        <family val="2"/>
        <scheme val="minor"/>
      </rPr>
      <t xml:space="preserve"> (In mn)</t>
    </r>
  </si>
  <si>
    <r>
      <t>Total Earnings Through Unbooked Residential Units</t>
    </r>
    <r>
      <rPr>
        <i/>
        <sz val="11"/>
        <color theme="1"/>
        <rFont val="Calibri"/>
        <family val="2"/>
        <scheme val="minor"/>
      </rPr>
      <t xml:space="preserve"> </t>
    </r>
    <r>
      <rPr>
        <b/>
        <i/>
        <sz val="11"/>
        <color theme="1"/>
        <rFont val="Calibri"/>
        <family val="2"/>
        <scheme val="minor"/>
      </rPr>
      <t xml:space="preserve">&amp; Parking </t>
    </r>
    <r>
      <rPr>
        <i/>
        <sz val="11"/>
        <color theme="1"/>
        <rFont val="Calibri"/>
        <family val="2"/>
        <scheme val="minor"/>
      </rPr>
      <t>(in Mn)</t>
    </r>
  </si>
  <si>
    <t>Total Proposed Cost</t>
  </si>
  <si>
    <t>Description</t>
  </si>
  <si>
    <r>
      <t xml:space="preserve">Total Cost Incurred as on date
</t>
    </r>
    <r>
      <rPr>
        <b/>
        <i/>
        <sz val="10"/>
        <color theme="0"/>
        <rFont val="Calibri"/>
        <family val="2"/>
        <scheme val="minor"/>
      </rPr>
      <t>(as information provided by the company)</t>
    </r>
  </si>
  <si>
    <t>Yet to be Incurred</t>
  </si>
  <si>
    <t>CASH FLOW SUMMATION</t>
  </si>
  <si>
    <t>Earnings (Inflow)</t>
  </si>
  <si>
    <r>
      <t xml:space="preserve">TOTAL INFLOW </t>
    </r>
    <r>
      <rPr>
        <i/>
        <sz val="11"/>
        <color theme="1"/>
        <rFont val="Calibri"/>
        <family val="2"/>
        <scheme val="minor"/>
      </rPr>
      <t xml:space="preserve">(in Mn) </t>
    </r>
    <r>
      <rPr>
        <b/>
        <sz val="11"/>
        <color theme="1"/>
        <rFont val="Calibri"/>
        <family val="2"/>
        <scheme val="minor"/>
      </rPr>
      <t>(A)</t>
    </r>
  </si>
  <si>
    <r>
      <t xml:space="preserve">TOTAL OUTFLOW </t>
    </r>
    <r>
      <rPr>
        <i/>
        <sz val="11"/>
        <color theme="1"/>
        <rFont val="Calibri"/>
        <family val="2"/>
        <scheme val="minor"/>
      </rPr>
      <t xml:space="preserve">(in Mn) </t>
    </r>
    <r>
      <rPr>
        <b/>
        <sz val="11"/>
        <color theme="1"/>
        <rFont val="Calibri"/>
        <family val="2"/>
        <scheme val="minor"/>
      </rPr>
      <t>(B)</t>
    </r>
  </si>
  <si>
    <r>
      <t xml:space="preserve">PROJECT CASHFLOW </t>
    </r>
    <r>
      <rPr>
        <i/>
        <sz val="11"/>
        <color theme="1"/>
        <rFont val="Calibri"/>
        <family val="2"/>
        <scheme val="minor"/>
      </rPr>
      <t xml:space="preserve">(in Mn) </t>
    </r>
    <r>
      <rPr>
        <b/>
        <sz val="11"/>
        <color theme="1"/>
        <rFont val="Calibri"/>
        <family val="2"/>
        <scheme val="minor"/>
      </rPr>
      <t>(A-B)</t>
    </r>
  </si>
  <si>
    <t xml:space="preserve">2. The expense yet to be incurred is comprised of cost of construction for balance work and preoperative expenses (like Admin &amp; administrative cost for sale/ purchase of unsold units and also brokerage/ marketing charges). </t>
  </si>
  <si>
    <t>The above mentioned values are in Millions Rupees.
1 Million = Rs.10,00,000/-</t>
  </si>
  <si>
    <t>Assumptions</t>
  </si>
  <si>
    <t>FAR</t>
  </si>
  <si>
    <t xml:space="preserve">Area
</t>
  </si>
  <si>
    <t>Acre</t>
  </si>
  <si>
    <t xml:space="preserve">Area in </t>
  </si>
  <si>
    <t xml:space="preserve">sq mtr </t>
  </si>
  <si>
    <t xml:space="preserve">Covered Area in </t>
  </si>
  <si>
    <t xml:space="preserve">Covered Area </t>
  </si>
  <si>
    <t>Sq. ft.</t>
  </si>
  <si>
    <t>INR/sq.ft</t>
  </si>
  <si>
    <t>Cost of Construction Upper Storey Structure</t>
  </si>
  <si>
    <t>INR/sq.ft On SBUA</t>
  </si>
  <si>
    <t>Consultant Costs</t>
  </si>
  <si>
    <t>% of CoC</t>
  </si>
  <si>
    <t xml:space="preserve">Cost Escalation (YoY) </t>
  </si>
  <si>
    <t>%</t>
  </si>
  <si>
    <t>Admin Costs</t>
  </si>
  <si>
    <t>per annum</t>
  </si>
  <si>
    <t>Sales &amp; Marketing Costs</t>
  </si>
  <si>
    <t>% of Revenue</t>
  </si>
  <si>
    <t>Revenues</t>
  </si>
  <si>
    <t>Residential Space</t>
  </si>
  <si>
    <t xml:space="preserve">Escalation in residential </t>
  </si>
  <si>
    <t>YoY</t>
  </si>
  <si>
    <t>Unbooked Absorption</t>
  </si>
  <si>
    <t>Area Absorbed per annum(sq. ft.)</t>
  </si>
  <si>
    <t>Cost per sq. ft.</t>
  </si>
  <si>
    <t>% of Increment per year</t>
  </si>
  <si>
    <t>Area Absorption Rate (sq. ft.)</t>
  </si>
  <si>
    <t>Percentage absorption</t>
  </si>
  <si>
    <t>Covered Area</t>
  </si>
  <si>
    <t>UNBOOKED INVENTORY VALUATION | M/S. SAYURI INFRASTRUCTURE PVT. LTD. | DR. N.G. SAHA ROAD, MOUZA- PARUI, P.S.- PARNASHREE, DIST- SOUTH-24 PARGANA, WEST BENGAL</t>
  </si>
  <si>
    <t>Statutory approvals &amp; NOCs</t>
  </si>
  <si>
    <t>inr/ sq. ft</t>
  </si>
  <si>
    <t xml:space="preserve">Approval Charges </t>
  </si>
  <si>
    <r>
      <rPr>
        <b/>
        <sz val="11"/>
        <color theme="1"/>
        <rFont val="Calibri"/>
        <family val="2"/>
        <scheme val="minor"/>
      </rPr>
      <t>Approval Charges</t>
    </r>
    <r>
      <rPr>
        <sz val="11"/>
        <color theme="1"/>
        <rFont val="Calibri"/>
        <family val="2"/>
        <scheme val="minor"/>
      </rPr>
      <t xml:space="preserve"> </t>
    </r>
    <r>
      <rPr>
        <i/>
        <sz val="11"/>
        <color theme="1"/>
        <rFont val="Calibri"/>
        <family val="2"/>
        <scheme val="minor"/>
      </rPr>
      <t>(In MN)</t>
    </r>
  </si>
  <si>
    <t xml:space="preserve"> Inventory Absorption</t>
  </si>
  <si>
    <t>3. As per the general real estate market scenario, the market rate for available inventory will increase @ 3% for selling of balance units in each year and in the fourth the developer will sold the remaining units with a premium of 8% since the project will be completed and ready to move.</t>
  </si>
  <si>
    <t>1. As per market/ industry practice and our market study, we are of the view that company will monetize the unsold units of residential society (to be developed) in the micro market within Four years @ 30% in first year, 35% in the second year, 30% in the third year &amp; rest 5% in the fourth year.</t>
  </si>
  <si>
    <t>2. The average market rate for residential flats in the subject project is varying in between Rs.4,000/-per sq.ft. to Rs.5,000/-per sq.ft.  including other charges like PLC, IFMS Charges, Utility Charges and developer will charge additional parking charges. These rates are also the current prevailing market rate of the other projects present nearby</t>
  </si>
  <si>
    <t xml:space="preserve">4. The discount rate or WACC has been taken as per the discussion with the market participants &amp; the current real estate markets scenario in India. The discount rate for the projects depends upon the reputation of the developer &amp; availability of unsold inventory &amp; Demand and supply as well. In Banking also the minimum ROI on real estate Projects is currently prevailing from minimum 12% to 18% depending upon the Project profile and creditworthiness of the developer company. Therefore we have taken minimum discount rate or ROR as 14.88% which any buyer would be expecting in present market scenario &amp; condition.      
For the calculation of discount rate we have assumed 75% of capex as debt and 25% of capex as equity @ 12.50% &amp; 22% interest rate. 22% of equity interest rate is adopted considering the risk factor involved in real estate projects in present scenario. By this WACC arrived is 14.88%.                                                                                                                                                                                                                                                                                                                                                                                         </t>
  </si>
  <si>
    <t>Cost of DEBT</t>
  </si>
  <si>
    <t xml:space="preserve">Corporate tax rate </t>
  </si>
  <si>
    <t>Ke</t>
  </si>
  <si>
    <t>=</t>
  </si>
  <si>
    <t>Rf+ Beta(Rm-Rf)</t>
  </si>
  <si>
    <t>Rf</t>
  </si>
  <si>
    <t>Beta</t>
  </si>
  <si>
    <t>Rm</t>
  </si>
  <si>
    <t xml:space="preserve">10 year Nifty 50 nreturn avergae </t>
  </si>
  <si>
    <t>10 year govt bond rate</t>
  </si>
  <si>
    <t>5 year beta of infra senstivity iof stock with respecyt to market</t>
  </si>
  <si>
    <t>S. No.</t>
  </si>
  <si>
    <t>L.R. Dag No.</t>
  </si>
  <si>
    <t>L.R. Khatian No.</t>
  </si>
  <si>
    <t>Name of Owner</t>
  </si>
  <si>
    <t>Area
(Acres)</t>
  </si>
  <si>
    <t>Area
(Sq. Mtr.)</t>
  </si>
  <si>
    <t>Nature of Land</t>
  </si>
  <si>
    <t>Mr. Jogesh Chandra Chattopadhyay</t>
  </si>
  <si>
    <t>Mr. Biswanath Chattopadhyay</t>
  </si>
  <si>
    <t>Mr. Bholanath Chattopadhyay</t>
  </si>
  <si>
    <t>DOBA</t>
  </si>
  <si>
    <t>BASTU</t>
  </si>
  <si>
    <t>SALI</t>
  </si>
  <si>
    <t>TOTAL</t>
  </si>
  <si>
    <t>Risk free rate</t>
  </si>
  <si>
    <t>Market return</t>
  </si>
  <si>
    <t>Weight of Equity</t>
  </si>
  <si>
    <t>Post tax Cost of debt</t>
  </si>
  <si>
    <t>Weight of debt</t>
  </si>
  <si>
    <t>Wd*Kd*(1-t) +We*Ke</t>
  </si>
  <si>
    <t>Company Risk premium</t>
  </si>
  <si>
    <t>Cost of Equity Ke</t>
  </si>
  <si>
    <t xml:space="preserve">Cost of Equity </t>
  </si>
  <si>
    <t xml:space="preserve"> % Sale of captioned Project</t>
  </si>
  <si>
    <t>Inflow 
(in Million Rupees)</t>
  </si>
  <si>
    <r>
      <t xml:space="preserve"> Total Inflow </t>
    </r>
    <r>
      <rPr>
        <b/>
        <i/>
        <sz val="11"/>
        <color theme="1"/>
        <rFont val="Calibri"/>
        <family val="2"/>
        <scheme val="minor"/>
      </rPr>
      <t>(in Million Rupees)</t>
    </r>
  </si>
  <si>
    <t>TOTAL OUTFLOW | Mr. KAMLESH KUMAR AGGARWAL | DR. N.G. SAHA ROAD, MOUZA- PARUI, P.S.- PARNASHREE, DIST- SOUTH-24 PARGANAS, WEST BENGAL</t>
  </si>
  <si>
    <t>ABSORPTION RATE | Mr. KAMLESH KUMAR AGGARWAL | DR. N.G. SAHA ROAD, MOUZA- PARUI, P.S.- PARNASHREE, DIST- SOUTH-24 PARGANAS, WEST BENGAL</t>
  </si>
  <si>
    <t xml:space="preserve"> NET PRESENT VALUE FOR LAND OF MR KAMLESH KUMAR AGGARWAL SITUATED AT DR. N. G. SAHA ROAD | </t>
  </si>
  <si>
    <t>SUMMARY | NET PRESENT VALUE (NPV)|  MR. KAMLESH KUMAR AGGARWAL | DR. N.G. SAHA ROAD, MOUZA- PARUI, P.S.- PARNASHREE, DIST- SOUTH-24 PARGANAS, WEST BENGAL</t>
  </si>
  <si>
    <t>4. The above mentioned values are in Millions Rupees.
1 Million = Rs.10,00,000/-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</si>
</sst>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 #,##0.00;[Red]&quot;₹&quot;\ \-#,##0.00"/>
    <numFmt numFmtId="44" formatCode="_ &quot;₹&quot;\ * #,##0.00_ ;_ &quot;₹&quot;\ * \-#,##0.00_ ;_ &quot;₹&quot;\ * &quot;-&quot;??_ ;_ @_ "/>
    <numFmt numFmtId="43" formatCode="_ * #,##0.00_ ;_ * \-#,##0.00_ ;_ * &quot;-&quot;??_ ;_ @_ "/>
    <numFmt numFmtId="164" formatCode="_(* #,##0.00_);_(* \(#,##0.00\);_(* &quot;-&quot;??_);_(@_)"/>
    <numFmt numFmtId="165" formatCode="_ [$₹-4009]\ * #,##0.00_ ;_ [$₹-4009]\ * \-#,##0.00_ ;_ [$₹-4009]\ * &quot;-&quot;??_ ;_ @_ "/>
    <numFmt numFmtId="166" formatCode="0.0%"/>
    <numFmt numFmtId="167" formatCode="_(* #,##0.0_);_(* \(#,##0.0\);_(* &quot;-&quot;??_);_(@_)"/>
    <numFmt numFmtId="168" formatCode="_(&quot;$&quot;* #,##0.000_);_(&quot;$&quot;* \(#,##0.000\);_(&quot;$&quot;* &quot;-&quot;??_);_(@_)"/>
    <numFmt numFmtId="169" formatCode="_ * #,##0_ ;_ * \-#,##0_ ;_ * &quot;-&quot;??_ ;_ @_ "/>
  </numFmts>
  <fonts count="17"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sz val="12"/>
      <color theme="0"/>
      <name val="Calibri"/>
      <family val="2"/>
      <scheme val="minor"/>
    </font>
    <font>
      <b/>
      <sz val="11"/>
      <name val="Calibri"/>
      <family val="2"/>
      <scheme val="minor"/>
    </font>
    <font>
      <b/>
      <i/>
      <sz val="11"/>
      <color theme="1"/>
      <name val="Calibri"/>
      <family val="2"/>
      <scheme val="minor"/>
    </font>
    <font>
      <sz val="11"/>
      <name val="Calibri"/>
      <family val="2"/>
      <scheme val="minor"/>
    </font>
    <font>
      <i/>
      <sz val="11"/>
      <color theme="0"/>
      <name val="Calibri"/>
      <family val="2"/>
      <scheme val="minor"/>
    </font>
    <font>
      <i/>
      <sz val="10"/>
      <color theme="0"/>
      <name val="Calibri"/>
      <family val="2"/>
      <scheme val="minor"/>
    </font>
    <font>
      <i/>
      <sz val="10"/>
      <color theme="1"/>
      <name val="Calibri"/>
      <family val="2"/>
      <scheme val="minor"/>
    </font>
    <font>
      <sz val="8"/>
      <name val="Calibri"/>
      <family val="2"/>
      <scheme val="minor"/>
    </font>
    <font>
      <b/>
      <sz val="11"/>
      <color rgb="FF000000"/>
      <name val="Calibri"/>
      <family val="2"/>
      <scheme val="minor"/>
    </font>
    <font>
      <b/>
      <i/>
      <sz val="10"/>
      <color theme="0"/>
      <name val="Calibri"/>
      <family val="2"/>
      <scheme val="minor"/>
    </font>
    <font>
      <i/>
      <sz val="11"/>
      <color rgb="FF000000"/>
      <name val="Calibri"/>
      <family val="2"/>
      <scheme val="minor"/>
    </font>
  </fonts>
  <fills count="14">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173">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xf>
    <xf numFmtId="44" fontId="0" fillId="0" borderId="1" xfId="2" applyFont="1" applyBorder="1" applyAlignment="1">
      <alignment horizontal="center" vertical="center"/>
    </xf>
    <xf numFmtId="0" fontId="0" fillId="5" borderId="1" xfId="0" applyFill="1" applyBorder="1" applyAlignment="1">
      <alignment horizontal="center" vertical="center" wrapText="1"/>
    </xf>
    <xf numFmtId="9" fontId="0" fillId="0" borderId="0" xfId="0" applyNumberFormat="1"/>
    <xf numFmtId="10" fontId="0" fillId="0" borderId="0" xfId="0" applyNumberFormat="1"/>
    <xf numFmtId="10" fontId="0" fillId="0" borderId="0" xfId="3" applyNumberFormat="1" applyFont="1"/>
    <xf numFmtId="0" fontId="4" fillId="10" borderId="1" xfId="0" applyFont="1" applyFill="1" applyBorder="1" applyAlignment="1">
      <alignment horizontal="center" vertical="center" wrapText="1"/>
    </xf>
    <xf numFmtId="0" fontId="2" fillId="0" borderId="1" xfId="0" applyFont="1" applyBorder="1" applyAlignment="1">
      <alignment horizontal="center" vertical="center" wrapText="1"/>
    </xf>
    <xf numFmtId="44" fontId="1" fillId="0" borderId="1" xfId="2" applyFont="1" applyBorder="1" applyAlignment="1">
      <alignment horizontal="center" vertical="center"/>
    </xf>
    <xf numFmtId="0" fontId="2" fillId="0" borderId="0" xfId="0" applyFont="1" applyFill="1" applyBorder="1" applyAlignment="1">
      <alignment horizontal="left" vertical="top"/>
    </xf>
    <xf numFmtId="0" fontId="4" fillId="10" borderId="1" xfId="0" applyFont="1" applyFill="1" applyBorder="1" applyAlignment="1">
      <alignment horizontal="center" vertical="center"/>
    </xf>
    <xf numFmtId="9" fontId="2" fillId="0" borderId="0" xfId="3" applyFont="1" applyFill="1" applyBorder="1" applyAlignment="1">
      <alignment horizontal="left" vertical="top"/>
    </xf>
    <xf numFmtId="0" fontId="2" fillId="0" borderId="0" xfId="0" applyFont="1" applyFill="1" applyBorder="1" applyAlignment="1">
      <alignment horizontal="center" vertical="center"/>
    </xf>
    <xf numFmtId="8" fontId="0" fillId="0" borderId="0" xfId="0" applyNumberFormat="1"/>
    <xf numFmtId="44" fontId="1" fillId="0" borderId="1" xfId="2" applyFont="1" applyBorder="1" applyAlignment="1">
      <alignment vertical="center"/>
    </xf>
    <xf numFmtId="0" fontId="2" fillId="0" borderId="0" xfId="0" applyFont="1"/>
    <xf numFmtId="44" fontId="2" fillId="0" borderId="0" xfId="2" applyFont="1"/>
    <xf numFmtId="44" fontId="4" fillId="0" borderId="0" xfId="2" applyFont="1" applyFill="1" applyBorder="1" applyAlignment="1">
      <alignment vertical="top"/>
    </xf>
    <xf numFmtId="0" fontId="2" fillId="0" borderId="0" xfId="0" applyFont="1" applyBorder="1" applyAlignment="1"/>
    <xf numFmtId="0" fontId="2" fillId="0" borderId="0" xfId="0" applyFont="1" applyBorder="1"/>
    <xf numFmtId="17" fontId="4" fillId="10" borderId="1" xfId="2" applyNumberFormat="1" applyFont="1" applyFill="1" applyBorder="1" applyAlignment="1">
      <alignment horizontal="center" vertical="center"/>
    </xf>
    <xf numFmtId="2" fontId="2" fillId="0" borderId="1" xfId="2" applyNumberFormat="1" applyFont="1" applyBorder="1" applyAlignment="1">
      <alignment horizontal="right" vertical="center"/>
    </xf>
    <xf numFmtId="167" fontId="9" fillId="3" borderId="1" xfId="1" applyNumberFormat="1" applyFont="1" applyFill="1" applyBorder="1" applyAlignment="1">
      <alignment vertical="center"/>
    </xf>
    <xf numFmtId="165" fontId="1" fillId="0" borderId="1" xfId="0" applyNumberFormat="1"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vertical="center" wrapText="1"/>
    </xf>
    <xf numFmtId="166" fontId="2" fillId="0" borderId="1" xfId="3" applyNumberFormat="1" applyFont="1" applyBorder="1" applyAlignment="1">
      <alignment vertical="center"/>
    </xf>
    <xf numFmtId="0" fontId="4" fillId="6" borderId="1" xfId="0" applyFont="1" applyFill="1" applyBorder="1" applyAlignment="1">
      <alignment horizontal="center" vertical="center" wrapText="1"/>
    </xf>
    <xf numFmtId="44" fontId="0" fillId="0" borderId="0" xfId="0" applyNumberFormat="1"/>
    <xf numFmtId="44" fontId="1" fillId="0" borderId="1" xfId="0" applyNumberFormat="1" applyFont="1" applyBorder="1"/>
    <xf numFmtId="0" fontId="4" fillId="6"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44" fontId="0" fillId="0" borderId="1" xfId="0" applyNumberFormat="1" applyBorder="1" applyAlignment="1">
      <alignment horizontal="center" vertical="center"/>
    </xf>
    <xf numFmtId="0" fontId="0" fillId="7" borderId="1" xfId="0" applyFill="1" applyBorder="1" applyAlignment="1">
      <alignment vertical="center"/>
    </xf>
    <xf numFmtId="165" fontId="0" fillId="0" borderId="1" xfId="0" applyNumberFormat="1" applyBorder="1" applyAlignment="1">
      <alignment vertical="center"/>
    </xf>
    <xf numFmtId="165" fontId="1" fillId="0" borderId="1" xfId="2" applyNumberFormat="1" applyFont="1" applyFill="1" applyBorder="1" applyAlignment="1">
      <alignment vertical="center"/>
    </xf>
    <xf numFmtId="17" fontId="4" fillId="10" borderId="1" xfId="2" applyNumberFormat="1" applyFont="1" applyFill="1" applyBorder="1" applyAlignment="1">
      <alignment horizontal="center" vertical="center" wrapText="1"/>
    </xf>
    <xf numFmtId="44" fontId="3" fillId="0" borderId="1" xfId="2" applyFont="1" applyBorder="1" applyAlignment="1">
      <alignment horizontal="center" vertical="center"/>
    </xf>
    <xf numFmtId="0" fontId="0" fillId="4" borderId="1" xfId="0" applyFill="1" applyBorder="1" applyAlignment="1">
      <alignment horizontal="center" vertical="center"/>
    </xf>
    <xf numFmtId="9" fontId="0" fillId="0" borderId="1" xfId="3" applyFont="1" applyBorder="1" applyAlignment="1">
      <alignment horizontal="center" vertical="center"/>
    </xf>
    <xf numFmtId="10" fontId="0" fillId="0" borderId="1" xfId="3" applyNumberFormat="1" applyFont="1" applyBorder="1" applyAlignment="1">
      <alignment horizontal="center" vertical="center"/>
    </xf>
    <xf numFmtId="17" fontId="4" fillId="6" borderId="1" xfId="2" applyNumberFormat="1" applyFont="1" applyFill="1" applyBorder="1" applyAlignment="1">
      <alignment horizontal="center" vertical="center"/>
    </xf>
    <xf numFmtId="1" fontId="0" fillId="0" borderId="1" xfId="0" applyNumberFormat="1" applyBorder="1" applyAlignment="1">
      <alignment horizontal="center" vertical="center"/>
    </xf>
    <xf numFmtId="1" fontId="2" fillId="0" borderId="1" xfId="0" applyNumberFormat="1" applyFont="1" applyBorder="1" applyAlignment="1">
      <alignment vertical="center" wrapText="1"/>
    </xf>
    <xf numFmtId="0" fontId="14" fillId="0" borderId="1" xfId="0" applyFont="1" applyBorder="1" applyAlignment="1">
      <alignment vertical="center" wrapText="1"/>
    </xf>
    <xf numFmtId="0" fontId="0" fillId="0" borderId="1" xfId="0" applyBorder="1" applyAlignment="1">
      <alignment horizontal="center" vertical="center"/>
    </xf>
    <xf numFmtId="165" fontId="0" fillId="0" borderId="0" xfId="0" applyNumberFormat="1"/>
    <xf numFmtId="0" fontId="0" fillId="0" borderId="1" xfId="0" applyNumberFormat="1" applyFill="1" applyBorder="1" applyAlignment="1">
      <alignment horizontal="center" vertical="center"/>
    </xf>
    <xf numFmtId="0" fontId="0" fillId="0" borderId="1" xfId="0" applyBorder="1" applyAlignment="1">
      <alignment horizontal="center"/>
    </xf>
    <xf numFmtId="0" fontId="0" fillId="0" borderId="1" xfId="0" applyBorder="1"/>
    <xf numFmtId="44" fontId="0" fillId="0" borderId="1" xfId="0" applyNumberFormat="1" applyBorder="1" applyAlignment="1">
      <alignment horizontal="center" vertical="center"/>
    </xf>
    <xf numFmtId="167" fontId="9" fillId="4" borderId="1" xfId="1" applyNumberFormat="1" applyFont="1" applyFill="1" applyBorder="1" applyAlignment="1">
      <alignment vertical="center"/>
    </xf>
    <xf numFmtId="44" fontId="2" fillId="0" borderId="0" xfId="0" applyNumberFormat="1" applyFont="1"/>
    <xf numFmtId="0" fontId="0" fillId="0" borderId="1" xfId="0" applyBorder="1" applyAlignment="1">
      <alignment horizontal="left" vertical="center" wrapText="1"/>
    </xf>
    <xf numFmtId="0" fontId="4" fillId="7" borderId="1" xfId="0" applyFont="1" applyFill="1" applyBorder="1" applyAlignment="1">
      <alignment vertical="center"/>
    </xf>
    <xf numFmtId="17" fontId="1" fillId="5" borderId="1" xfId="2" applyNumberFormat="1" applyFont="1" applyFill="1" applyBorder="1" applyAlignment="1">
      <alignment horizontal="center" vertical="center"/>
    </xf>
    <xf numFmtId="0" fontId="7" fillId="3" borderId="1" xfId="0" applyFont="1" applyFill="1" applyBorder="1" applyAlignment="1">
      <alignment vertical="center"/>
    </xf>
    <xf numFmtId="0" fontId="0" fillId="0" borderId="1" xfId="0" applyBorder="1" applyAlignment="1">
      <alignment vertical="center"/>
    </xf>
    <xf numFmtId="0" fontId="1" fillId="0" borderId="1" xfId="0" applyFont="1" applyBorder="1" applyAlignment="1">
      <alignment vertical="center"/>
    </xf>
    <xf numFmtId="0" fontId="0" fillId="0" borderId="1" xfId="0" applyBorder="1" applyAlignment="1">
      <alignment horizontal="left" vertical="center" wrapText="1"/>
    </xf>
    <xf numFmtId="2" fontId="0" fillId="0" borderId="1" xfId="0" applyNumberFormat="1" applyBorder="1" applyAlignment="1">
      <alignment horizontal="center" vertical="center"/>
    </xf>
    <xf numFmtId="0" fontId="2" fillId="2" borderId="1" xfId="0" applyFont="1" applyFill="1" applyBorder="1" applyAlignment="1">
      <alignment vertical="center"/>
    </xf>
    <xf numFmtId="0" fontId="0" fillId="0" borderId="1" xfId="0" applyBorder="1" applyAlignment="1">
      <alignment horizontal="center" vertical="center" wrapText="1"/>
    </xf>
    <xf numFmtId="43" fontId="0" fillId="0" borderId="1" xfId="1" applyNumberFormat="1" applyFont="1" applyBorder="1" applyAlignment="1">
      <alignment horizontal="center" vertical="center"/>
    </xf>
    <xf numFmtId="0" fontId="0" fillId="3" borderId="1" xfId="0" applyFill="1" applyBorder="1" applyAlignment="1">
      <alignment horizontal="center" vertical="center"/>
    </xf>
    <xf numFmtId="169" fontId="0" fillId="3" borderId="1" xfId="4" applyNumberFormat="1" applyFont="1" applyFill="1" applyBorder="1" applyAlignment="1">
      <alignment horizontal="center" vertical="center"/>
    </xf>
    <xf numFmtId="0" fontId="1" fillId="3" borderId="1" xfId="0" applyFont="1" applyFill="1" applyBorder="1" applyAlignment="1">
      <alignment horizontal="left" vertical="center"/>
    </xf>
    <xf numFmtId="0" fontId="0" fillId="3" borderId="1" xfId="0" applyFill="1" applyBorder="1" applyAlignment="1">
      <alignment vertical="center"/>
    </xf>
    <xf numFmtId="166" fontId="0" fillId="3" borderId="1" xfId="0" applyNumberFormat="1" applyFill="1" applyBorder="1" applyAlignment="1">
      <alignment horizontal="center" vertical="center"/>
    </xf>
    <xf numFmtId="10" fontId="0" fillId="3" borderId="1" xfId="0" applyNumberFormat="1" applyFill="1" applyBorder="1" applyAlignment="1">
      <alignment horizontal="center" vertical="center"/>
    </xf>
    <xf numFmtId="10" fontId="0" fillId="3" borderId="1" xfId="3" applyNumberFormat="1" applyFont="1" applyFill="1" applyBorder="1" applyAlignment="1">
      <alignment horizontal="center" vertical="center"/>
    </xf>
    <xf numFmtId="166" fontId="0" fillId="3" borderId="1" xfId="3" applyNumberFormat="1" applyFont="1" applyFill="1" applyBorder="1" applyAlignment="1">
      <alignment horizontal="center" vertical="center"/>
    </xf>
    <xf numFmtId="9" fontId="9" fillId="3" borderId="1" xfId="0" applyNumberFormat="1" applyFont="1" applyFill="1" applyBorder="1" applyAlignment="1">
      <alignment horizontal="left" vertical="center"/>
    </xf>
    <xf numFmtId="10" fontId="0" fillId="0" borderId="1" xfId="0" applyNumberFormat="1" applyBorder="1"/>
    <xf numFmtId="9" fontId="0" fillId="0" borderId="1" xfId="0" applyNumberFormat="1" applyBorder="1"/>
    <xf numFmtId="10" fontId="0" fillId="0" borderId="1" xfId="3" applyNumberFormat="1" applyFont="1" applyBorder="1"/>
    <xf numFmtId="43" fontId="0" fillId="0" borderId="1" xfId="0" applyNumberFormat="1" applyBorder="1" applyAlignment="1">
      <alignment horizontal="center" vertical="center"/>
    </xf>
    <xf numFmtId="43" fontId="2" fillId="3" borderId="1" xfId="0" applyNumberFormat="1" applyFont="1" applyFill="1" applyBorder="1" applyAlignment="1">
      <alignment horizontal="center" vertical="center"/>
    </xf>
    <xf numFmtId="44" fontId="2" fillId="0" borderId="1" xfId="2" applyFont="1" applyBorder="1" applyAlignment="1">
      <alignment vertical="center"/>
    </xf>
    <xf numFmtId="44" fontId="2" fillId="0" borderId="0" xfId="3" applyNumberFormat="1" applyFont="1" applyFill="1" applyBorder="1" applyAlignment="1">
      <alignment horizontal="left" vertical="top"/>
    </xf>
    <xf numFmtId="9" fontId="2" fillId="0" borderId="1" xfId="3" applyFont="1" applyBorder="1" applyAlignment="1">
      <alignment horizontal="center" vertical="center"/>
    </xf>
    <xf numFmtId="10" fontId="1" fillId="0" borderId="1" xfId="3" applyNumberFormat="1" applyFont="1" applyFill="1" applyBorder="1" applyAlignment="1">
      <alignment vertical="center"/>
    </xf>
    <xf numFmtId="44" fontId="0" fillId="0" borderId="0" xfId="2" applyFont="1"/>
    <xf numFmtId="165" fontId="2" fillId="0" borderId="0" xfId="0" applyNumberFormat="1" applyFont="1"/>
    <xf numFmtId="17" fontId="4" fillId="6" borderId="1" xfId="2" applyNumberFormat="1" applyFont="1" applyFill="1" applyBorder="1" applyAlignment="1">
      <alignment horizontal="center" vertical="center"/>
    </xf>
    <xf numFmtId="0" fontId="1" fillId="0" borderId="1" xfId="0" applyFont="1" applyBorder="1" applyAlignment="1">
      <alignment horizontal="center" vertical="center"/>
    </xf>
    <xf numFmtId="17" fontId="4" fillId="6" borderId="1" xfId="2" applyNumberFormat="1" applyFont="1" applyFill="1" applyBorder="1" applyAlignment="1">
      <alignment horizontal="center" vertical="top"/>
    </xf>
    <xf numFmtId="0" fontId="4" fillId="7" borderId="1" xfId="0" applyFont="1" applyFill="1" applyBorder="1" applyAlignment="1">
      <alignment vertical="center"/>
    </xf>
    <xf numFmtId="0" fontId="7" fillId="3" borderId="1" xfId="0" applyFont="1" applyFill="1" applyBorder="1" applyAlignment="1">
      <alignment vertical="center"/>
    </xf>
    <xf numFmtId="0" fontId="0" fillId="0" borderId="1" xfId="0" applyBorder="1" applyAlignment="1">
      <alignment vertical="center"/>
    </xf>
    <xf numFmtId="0" fontId="1" fillId="0" borderId="1" xfId="0" applyFont="1" applyBorder="1" applyAlignment="1">
      <alignment vertical="center"/>
    </xf>
    <xf numFmtId="167" fontId="0" fillId="0" borderId="0" xfId="0" applyNumberFormat="1"/>
    <xf numFmtId="9" fontId="0" fillId="0" borderId="0" xfId="3" applyFont="1"/>
    <xf numFmtId="0" fontId="0" fillId="0" borderId="0" xfId="0" quotePrefix="1"/>
    <xf numFmtId="10" fontId="0" fillId="12" borderId="0" xfId="3" applyNumberFormat="1" applyFont="1" applyFill="1"/>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2"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wrapText="1"/>
    </xf>
    <xf numFmtId="0" fontId="1" fillId="5" borderId="1" xfId="0" applyFont="1" applyFill="1" applyBorder="1" applyAlignment="1">
      <alignment horizontal="center" vertical="center" wrapText="1"/>
    </xf>
    <xf numFmtId="0" fontId="0" fillId="0" borderId="1" xfId="0" applyFill="1" applyBorder="1"/>
    <xf numFmtId="9" fontId="0" fillId="0" borderId="1" xfId="3" applyFont="1" applyBorder="1"/>
    <xf numFmtId="2" fontId="0" fillId="0" borderId="0" xfId="0" applyNumberFormat="1"/>
    <xf numFmtId="9" fontId="0" fillId="12" borderId="0" xfId="0" applyNumberFormat="1" applyFill="1"/>
    <xf numFmtId="0" fontId="0" fillId="13" borderId="0" xfId="0" applyFill="1"/>
    <xf numFmtId="0" fontId="0" fillId="13" borderId="0" xfId="0" quotePrefix="1" applyFill="1"/>
    <xf numFmtId="10" fontId="1" fillId="0" borderId="0" xfId="0" applyNumberFormat="1" applyFont="1"/>
    <xf numFmtId="10" fontId="1" fillId="13" borderId="0" xfId="0" applyNumberFormat="1" applyFont="1" applyFill="1"/>
    <xf numFmtId="0" fontId="0" fillId="0" borderId="0" xfId="0" applyFill="1" applyBorder="1"/>
    <xf numFmtId="0" fontId="0" fillId="0" borderId="0" xfId="0" applyBorder="1"/>
    <xf numFmtId="9" fontId="0" fillId="0" borderId="0" xfId="3" applyFont="1" applyBorder="1"/>
    <xf numFmtId="0" fontId="0" fillId="0" borderId="1" xfId="0" applyFont="1" applyBorder="1"/>
    <xf numFmtId="10" fontId="0" fillId="0" borderId="1" xfId="0" applyNumberFormat="1" applyFont="1" applyBorder="1"/>
    <xf numFmtId="0" fontId="5" fillId="0" borderId="1" xfId="0" applyFont="1" applyBorder="1" applyAlignment="1">
      <alignment vertical="center" wrapText="1"/>
    </xf>
    <xf numFmtId="44" fontId="1" fillId="0" borderId="1" xfId="0" applyNumberFormat="1" applyFont="1" applyBorder="1" applyAlignment="1">
      <alignment horizontal="center" vertical="center"/>
    </xf>
    <xf numFmtId="10" fontId="0" fillId="3" borderId="1" xfId="0" applyNumberFormat="1" applyFont="1" applyFill="1" applyBorder="1"/>
    <xf numFmtId="0" fontId="1" fillId="4" borderId="1" xfId="0" applyFont="1" applyFill="1" applyBorder="1" applyAlignment="1">
      <alignment horizontal="center" vertical="center"/>
    </xf>
    <xf numFmtId="17" fontId="4" fillId="6" borderId="1" xfId="2" applyNumberFormat="1" applyFont="1" applyFill="1" applyBorder="1" applyAlignment="1">
      <alignment horizontal="center" vertical="center"/>
    </xf>
    <xf numFmtId="0" fontId="1" fillId="9"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5" fillId="0"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17" fontId="4" fillId="6" borderId="1" xfId="2" applyNumberFormat="1" applyFont="1" applyFill="1" applyBorder="1" applyAlignment="1">
      <alignment horizontal="center" vertical="top"/>
    </xf>
    <xf numFmtId="0" fontId="2" fillId="0" borderId="1" xfId="0" applyFont="1" applyFill="1" applyBorder="1" applyAlignment="1">
      <alignment horizontal="left" vertical="center" wrapText="1"/>
    </xf>
    <xf numFmtId="0" fontId="0" fillId="0" borderId="0" xfId="0" applyAlignment="1">
      <alignment horizontal="center"/>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1" xfId="0" applyFont="1" applyBorder="1" applyAlignment="1">
      <alignment horizontal="left"/>
    </xf>
    <xf numFmtId="0" fontId="8" fillId="3" borderId="1" xfId="0" applyFont="1" applyFill="1" applyBorder="1" applyAlignment="1">
      <alignment horizontal="left" wrapText="1"/>
    </xf>
    <xf numFmtId="0" fontId="0" fillId="0" borderId="1" xfId="0" applyFill="1" applyBorder="1" applyAlignment="1">
      <alignment horizontal="center" vertical="top"/>
    </xf>
    <xf numFmtId="0" fontId="1" fillId="0" borderId="1" xfId="0" applyFont="1" applyBorder="1" applyAlignment="1">
      <alignment vertical="center" wrapText="1"/>
    </xf>
    <xf numFmtId="0" fontId="1" fillId="0" borderId="1" xfId="0" applyFont="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44" fontId="0" fillId="0" borderId="1" xfId="2" applyFont="1" applyBorder="1" applyAlignment="1">
      <alignment vertical="center"/>
    </xf>
    <xf numFmtId="0" fontId="0" fillId="0" borderId="1" xfId="0" applyBorder="1" applyAlignment="1">
      <alignment vertical="center" wrapText="1"/>
    </xf>
    <xf numFmtId="0" fontId="0" fillId="8" borderId="1" xfId="0" applyFill="1" applyBorder="1" applyAlignment="1">
      <alignment vertical="center"/>
    </xf>
    <xf numFmtId="0" fontId="0" fillId="0" borderId="1" xfId="0" applyFont="1" applyBorder="1" applyAlignment="1">
      <alignment vertical="center" wrapText="1"/>
    </xf>
    <xf numFmtId="0" fontId="4" fillId="7" borderId="1" xfId="0" applyFont="1" applyFill="1" applyBorder="1" applyAlignment="1">
      <alignment vertical="center"/>
    </xf>
    <xf numFmtId="44" fontId="6" fillId="6" borderId="1" xfId="2" applyFont="1" applyFill="1" applyBorder="1" applyAlignment="1">
      <alignment horizontal="center" vertical="center" wrapText="1"/>
    </xf>
    <xf numFmtId="0" fontId="0" fillId="0" borderId="1" xfId="0" applyBorder="1" applyAlignment="1">
      <alignment horizontal="center" vertical="center"/>
    </xf>
    <xf numFmtId="0" fontId="1" fillId="5" borderId="1" xfId="0" applyFont="1" applyFill="1" applyBorder="1" applyAlignment="1">
      <alignment horizontal="center" vertical="center"/>
    </xf>
    <xf numFmtId="17" fontId="1" fillId="5" borderId="1" xfId="2" applyNumberFormat="1" applyFont="1" applyFill="1" applyBorder="1" applyAlignment="1">
      <alignment horizontal="center" vertical="center" wrapText="1"/>
    </xf>
    <xf numFmtId="0" fontId="7" fillId="3" borderId="1" xfId="0" applyFont="1" applyFill="1" applyBorder="1" applyAlignment="1">
      <alignment vertical="center"/>
    </xf>
    <xf numFmtId="0" fontId="0" fillId="0" borderId="1" xfId="0" applyBorder="1" applyAlignment="1">
      <alignment vertical="center"/>
    </xf>
    <xf numFmtId="0" fontId="1" fillId="0" borderId="1" xfId="0" applyFont="1" applyBorder="1" applyAlignment="1">
      <alignment horizontal="center" vertical="center" wrapText="1"/>
    </xf>
    <xf numFmtId="0" fontId="16" fillId="0" borderId="1" xfId="0" applyFont="1" applyBorder="1" applyAlignment="1">
      <alignment horizontal="left" wrapText="1"/>
    </xf>
    <xf numFmtId="0" fontId="16" fillId="0" borderId="1" xfId="0" applyFont="1" applyBorder="1" applyAlignment="1">
      <alignment horizontal="left"/>
    </xf>
    <xf numFmtId="0" fontId="2" fillId="0" borderId="1" xfId="0" applyFont="1" applyBorder="1" applyAlignment="1">
      <alignment horizontal="center"/>
    </xf>
    <xf numFmtId="0" fontId="1" fillId="9" borderId="1" xfId="0" applyFont="1" applyFill="1" applyBorder="1" applyAlignment="1">
      <alignment horizontal="left" vertical="top" wrapText="1"/>
    </xf>
    <xf numFmtId="0" fontId="1" fillId="9" borderId="1" xfId="0" applyFont="1" applyFill="1" applyBorder="1" applyAlignment="1">
      <alignment horizontal="left" vertical="top"/>
    </xf>
    <xf numFmtId="0" fontId="7" fillId="3" borderId="1" xfId="0" applyFont="1" applyFill="1" applyBorder="1" applyAlignment="1">
      <alignment horizontal="center" vertical="top"/>
    </xf>
    <xf numFmtId="0" fontId="1" fillId="0" borderId="1" xfId="0" applyFont="1" applyBorder="1" applyAlignment="1">
      <alignment horizontal="left" vertical="center" wrapText="1"/>
    </xf>
    <xf numFmtId="44" fontId="2" fillId="0" borderId="1" xfId="2" applyFont="1" applyBorder="1" applyAlignment="1">
      <alignment horizontal="center"/>
    </xf>
    <xf numFmtId="168" fontId="2" fillId="0" borderId="1" xfId="2" applyNumberFormat="1" applyFont="1" applyBorder="1" applyAlignment="1">
      <alignment horizontal="center" vertical="top"/>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cellXfs>
  <cellStyles count="5">
    <cellStyle name="Comma" xfId="1" builtinId="3"/>
    <cellStyle name="Comma 2" xfId="4"/>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K57"/>
  <sheetViews>
    <sheetView tabSelected="1" topLeftCell="A19" zoomScaleNormal="100" workbookViewId="0">
      <selection activeCell="G30" sqref="G30"/>
    </sheetView>
  </sheetViews>
  <sheetFormatPr defaultRowHeight="15" x14ac:dyDescent="0.25"/>
  <cols>
    <col min="5" max="5" width="40.5703125" bestFit="1" customWidth="1"/>
    <col min="6" max="6" width="17.42578125" bestFit="1" customWidth="1"/>
    <col min="7" max="7" width="15.28515625" bestFit="1" customWidth="1"/>
    <col min="8" max="8" width="44.140625" customWidth="1"/>
    <col min="9" max="9" width="15.85546875" bestFit="1" customWidth="1"/>
  </cols>
  <sheetData>
    <row r="5" spans="5:9" x14ac:dyDescent="0.25">
      <c r="E5" s="124" t="s">
        <v>59</v>
      </c>
      <c r="F5" s="124"/>
      <c r="G5" s="124"/>
    </row>
    <row r="6" spans="5:9" x14ac:dyDescent="0.25">
      <c r="E6" s="102" t="s">
        <v>60</v>
      </c>
      <c r="F6" s="51"/>
      <c r="G6" s="102">
        <v>2.25</v>
      </c>
    </row>
    <row r="7" spans="5:9" ht="30" x14ac:dyDescent="0.25">
      <c r="E7" s="65" t="s">
        <v>61</v>
      </c>
      <c r="F7" s="51" t="s">
        <v>62</v>
      </c>
      <c r="G7" s="102">
        <v>1.9</v>
      </c>
    </row>
    <row r="8" spans="5:9" x14ac:dyDescent="0.25">
      <c r="E8" s="102" t="s">
        <v>63</v>
      </c>
      <c r="F8" s="51" t="s">
        <v>64</v>
      </c>
      <c r="G8" s="63">
        <f>G7*4046.86</f>
        <v>7689.0339999999997</v>
      </c>
    </row>
    <row r="9" spans="5:9" x14ac:dyDescent="0.25">
      <c r="E9" s="102" t="s">
        <v>65</v>
      </c>
      <c r="F9" s="51" t="s">
        <v>64</v>
      </c>
      <c r="G9" s="63">
        <f>G8*G6</f>
        <v>17300.326499999999</v>
      </c>
    </row>
    <row r="10" spans="5:9" x14ac:dyDescent="0.25">
      <c r="E10" s="102" t="s">
        <v>66</v>
      </c>
      <c r="F10" s="102" t="s">
        <v>67</v>
      </c>
      <c r="G10" s="66">
        <f>G9*10.764</f>
        <v>186220.71444599997</v>
      </c>
    </row>
    <row r="11" spans="5:9" x14ac:dyDescent="0.25">
      <c r="E11" s="69" t="s">
        <v>69</v>
      </c>
      <c r="F11" s="67" t="s">
        <v>70</v>
      </c>
      <c r="G11" s="68">
        <v>1800</v>
      </c>
    </row>
    <row r="12" spans="5:9" x14ac:dyDescent="0.25">
      <c r="E12" s="69" t="s">
        <v>91</v>
      </c>
      <c r="F12" s="67" t="s">
        <v>92</v>
      </c>
      <c r="G12" s="68">
        <v>50</v>
      </c>
      <c r="I12" s="85">
        <f>G12*G10</f>
        <v>9311035.7222999986</v>
      </c>
    </row>
    <row r="13" spans="5:9" x14ac:dyDescent="0.25">
      <c r="E13" s="70" t="s">
        <v>71</v>
      </c>
      <c r="F13" s="67" t="s">
        <v>72</v>
      </c>
      <c r="G13" s="71">
        <v>0.02</v>
      </c>
    </row>
    <row r="14" spans="5:9" x14ac:dyDescent="0.25">
      <c r="E14" s="70" t="s">
        <v>73</v>
      </c>
      <c r="F14" s="67" t="s">
        <v>74</v>
      </c>
      <c r="G14" s="72">
        <v>0.03</v>
      </c>
    </row>
    <row r="15" spans="5:9" x14ac:dyDescent="0.25">
      <c r="E15" s="70" t="s">
        <v>75</v>
      </c>
      <c r="F15" s="67" t="s">
        <v>76</v>
      </c>
      <c r="G15" s="73">
        <v>0.1</v>
      </c>
      <c r="I15" s="30">
        <f>ASSUMPTIONS!G13*'Total Outflow'!G14</f>
        <v>8432073.9501148779</v>
      </c>
    </row>
    <row r="16" spans="5:9" x14ac:dyDescent="0.25">
      <c r="E16" s="70" t="s">
        <v>39</v>
      </c>
      <c r="F16" s="67"/>
      <c r="G16" s="73">
        <v>0.08</v>
      </c>
    </row>
    <row r="17" spans="5:9" x14ac:dyDescent="0.25">
      <c r="E17" s="70" t="s">
        <v>77</v>
      </c>
      <c r="F17" s="67" t="s">
        <v>78</v>
      </c>
      <c r="G17" s="72">
        <v>0.05</v>
      </c>
      <c r="I17" s="30">
        <f>G16*'Total Outflow'!G14</f>
        <v>33728295.800459512</v>
      </c>
    </row>
    <row r="18" spans="5:9" x14ac:dyDescent="0.25">
      <c r="E18" s="101" t="s">
        <v>79</v>
      </c>
      <c r="F18" s="67"/>
      <c r="G18" s="67"/>
    </row>
    <row r="19" spans="5:9" x14ac:dyDescent="0.25">
      <c r="E19" s="75" t="s">
        <v>80</v>
      </c>
      <c r="F19" s="67" t="s">
        <v>68</v>
      </c>
      <c r="G19" s="68">
        <v>4500</v>
      </c>
    </row>
    <row r="20" spans="5:9" x14ac:dyDescent="0.25">
      <c r="E20" s="75" t="s">
        <v>81</v>
      </c>
      <c r="F20" s="67" t="s">
        <v>82</v>
      </c>
      <c r="G20" s="74">
        <v>0.03</v>
      </c>
    </row>
    <row r="21" spans="5:9" x14ac:dyDescent="0.25">
      <c r="E21" s="52"/>
      <c r="F21" s="52"/>
      <c r="G21" s="52"/>
    </row>
    <row r="22" spans="5:9" x14ac:dyDescent="0.25">
      <c r="E22" s="52" t="s">
        <v>32</v>
      </c>
      <c r="F22" s="76"/>
      <c r="G22" s="77">
        <v>0.75</v>
      </c>
    </row>
    <row r="23" spans="5:9" x14ac:dyDescent="0.25">
      <c r="E23" s="52" t="s">
        <v>33</v>
      </c>
      <c r="F23" s="76"/>
      <c r="G23" s="77">
        <v>0.25</v>
      </c>
    </row>
    <row r="24" spans="5:9" x14ac:dyDescent="0.25">
      <c r="E24" s="108" t="s">
        <v>100</v>
      </c>
      <c r="F24" s="52"/>
      <c r="G24" s="76">
        <v>9.5000000000000001E-2</v>
      </c>
    </row>
    <row r="25" spans="5:9" x14ac:dyDescent="0.25">
      <c r="E25" s="108" t="s">
        <v>101</v>
      </c>
      <c r="F25" s="52"/>
      <c r="G25" s="109">
        <v>0.25169999999999998</v>
      </c>
    </row>
    <row r="26" spans="5:9" x14ac:dyDescent="0.25">
      <c r="E26" s="52" t="s">
        <v>133</v>
      </c>
      <c r="F26" s="52"/>
      <c r="G26" s="78">
        <v>0.13150000000000001</v>
      </c>
    </row>
    <row r="27" spans="5:9" x14ac:dyDescent="0.25">
      <c r="E27" s="52" t="s">
        <v>128</v>
      </c>
      <c r="F27" s="52"/>
      <c r="G27" s="109">
        <v>7.1088499999999999E-2</v>
      </c>
    </row>
    <row r="28" spans="5:9" x14ac:dyDescent="0.25">
      <c r="E28" s="108" t="s">
        <v>34</v>
      </c>
      <c r="F28" s="52"/>
      <c r="G28" s="78">
        <v>8.6191375000000001E-2</v>
      </c>
    </row>
    <row r="29" spans="5:9" x14ac:dyDescent="0.25">
      <c r="E29" s="119" t="s">
        <v>131</v>
      </c>
      <c r="F29" s="119"/>
      <c r="G29" s="120">
        <v>2.5000000000000001E-2</v>
      </c>
    </row>
    <row r="30" spans="5:9" x14ac:dyDescent="0.25">
      <c r="E30" s="119" t="s">
        <v>7</v>
      </c>
      <c r="F30" s="52"/>
      <c r="G30" s="123">
        <v>0.11119137500000001</v>
      </c>
    </row>
    <row r="31" spans="5:9" x14ac:dyDescent="0.25">
      <c r="E31" s="116"/>
      <c r="F31" s="117"/>
      <c r="G31" s="118"/>
    </row>
    <row r="32" spans="5:9" x14ac:dyDescent="0.25">
      <c r="E32" s="116"/>
      <c r="F32" s="117"/>
      <c r="G32" s="118"/>
    </row>
    <row r="33" spans="3:11" x14ac:dyDescent="0.25">
      <c r="E33" s="116"/>
      <c r="F33" s="117"/>
      <c r="G33" s="118"/>
    </row>
    <row r="36" spans="3:11" x14ac:dyDescent="0.25">
      <c r="E36" t="s">
        <v>132</v>
      </c>
      <c r="F36" t="s">
        <v>102</v>
      </c>
      <c r="G36" s="96" t="s">
        <v>103</v>
      </c>
      <c r="H36" t="s">
        <v>104</v>
      </c>
      <c r="J36" s="96" t="s">
        <v>103</v>
      </c>
      <c r="K36" s="97">
        <f>G38+G39*(G40-G38)</f>
        <v>0.13150000000000001</v>
      </c>
    </row>
    <row r="38" spans="3:11" x14ac:dyDescent="0.25">
      <c r="C38" t="s">
        <v>125</v>
      </c>
      <c r="E38" t="s">
        <v>105</v>
      </c>
      <c r="F38" s="96" t="s">
        <v>103</v>
      </c>
      <c r="G38" s="7">
        <v>6.8500000000000005E-2</v>
      </c>
      <c r="H38" t="s">
        <v>109</v>
      </c>
    </row>
    <row r="39" spans="3:11" x14ac:dyDescent="0.25">
      <c r="E39" t="s">
        <v>106</v>
      </c>
      <c r="G39" s="110">
        <v>2</v>
      </c>
      <c r="H39" t="s">
        <v>110</v>
      </c>
    </row>
    <row r="40" spans="3:11" x14ac:dyDescent="0.25">
      <c r="C40" t="s">
        <v>126</v>
      </c>
      <c r="E40" t="s">
        <v>107</v>
      </c>
      <c r="G40" s="6">
        <v>0.1</v>
      </c>
      <c r="H40" t="s">
        <v>108</v>
      </c>
    </row>
    <row r="43" spans="3:11" x14ac:dyDescent="0.25">
      <c r="E43" t="s">
        <v>127</v>
      </c>
      <c r="K43" s="111">
        <f>G23</f>
        <v>0.25</v>
      </c>
    </row>
    <row r="46" spans="3:11" x14ac:dyDescent="0.25">
      <c r="E46" t="s">
        <v>128</v>
      </c>
      <c r="F46" s="96" t="s">
        <v>103</v>
      </c>
      <c r="K46" s="97">
        <f>G24*(1-G25)</f>
        <v>7.1088499999999999E-2</v>
      </c>
    </row>
    <row r="48" spans="3:11" x14ac:dyDescent="0.25">
      <c r="E48" t="s">
        <v>129</v>
      </c>
      <c r="F48" s="95"/>
    </row>
    <row r="49" spans="5:11" x14ac:dyDescent="0.25">
      <c r="K49" s="111">
        <f>G22</f>
        <v>0.75</v>
      </c>
    </row>
    <row r="51" spans="5:11" x14ac:dyDescent="0.25">
      <c r="E51" s="112" t="s">
        <v>34</v>
      </c>
      <c r="F51" s="113" t="s">
        <v>103</v>
      </c>
      <c r="G51" s="112" t="s">
        <v>130</v>
      </c>
      <c r="H51" s="112"/>
    </row>
    <row r="53" spans="5:11" x14ac:dyDescent="0.25">
      <c r="E53" s="105" t="s">
        <v>34</v>
      </c>
      <c r="F53" s="105"/>
      <c r="G53" s="114">
        <f>K49*K46+K43*K36</f>
        <v>8.6191375000000001E-2</v>
      </c>
      <c r="H53" s="105"/>
    </row>
    <row r="54" spans="5:11" x14ac:dyDescent="0.25">
      <c r="E54" s="105"/>
      <c r="F54" s="105"/>
      <c r="G54" s="105"/>
      <c r="H54" s="105"/>
    </row>
    <row r="55" spans="5:11" x14ac:dyDescent="0.25">
      <c r="E55" s="105" t="s">
        <v>131</v>
      </c>
      <c r="F55" s="105"/>
      <c r="G55" s="114">
        <v>2.5000000000000001E-2</v>
      </c>
      <c r="H55" s="105"/>
    </row>
    <row r="56" spans="5:11" x14ac:dyDescent="0.25">
      <c r="E56" s="105"/>
      <c r="F56" s="105"/>
      <c r="G56" s="105"/>
      <c r="H56" s="105"/>
    </row>
    <row r="57" spans="5:11" x14ac:dyDescent="0.25">
      <c r="E57" s="105" t="s">
        <v>7</v>
      </c>
      <c r="F57" s="105"/>
      <c r="G57" s="115">
        <f>G53+G55</f>
        <v>0.11119137500000001</v>
      </c>
      <c r="H57" s="105"/>
    </row>
  </sheetData>
  <mergeCells count="1">
    <mergeCell ref="E5:G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
  <sheetViews>
    <sheetView workbookViewId="0">
      <selection activeCell="B2" sqref="B2:G7"/>
    </sheetView>
  </sheetViews>
  <sheetFormatPr defaultRowHeight="15" x14ac:dyDescent="0.25"/>
  <cols>
    <col min="2" max="2" width="23.140625" customWidth="1"/>
    <col min="3" max="3" width="16.85546875" bestFit="1" customWidth="1"/>
    <col min="4" max="4" width="14" customWidth="1"/>
    <col min="5" max="6" width="13" customWidth="1"/>
    <col min="7" max="7" width="12" bestFit="1" customWidth="1"/>
  </cols>
  <sheetData>
    <row r="2" spans="2:7" ht="30" customHeight="1" x14ac:dyDescent="0.25">
      <c r="B2" s="126" t="s">
        <v>138</v>
      </c>
      <c r="C2" s="126"/>
      <c r="D2" s="126"/>
      <c r="E2" s="126"/>
      <c r="F2" s="126"/>
      <c r="G2" s="126"/>
    </row>
    <row r="3" spans="2:7" x14ac:dyDescent="0.25">
      <c r="B3" s="127" t="s">
        <v>10</v>
      </c>
      <c r="C3" s="125" t="s">
        <v>83</v>
      </c>
      <c r="D3" s="125"/>
      <c r="E3" s="125"/>
      <c r="F3" s="87"/>
      <c r="G3" s="125" t="s">
        <v>8</v>
      </c>
    </row>
    <row r="4" spans="2:7" x14ac:dyDescent="0.25">
      <c r="B4" s="127"/>
      <c r="C4" s="44">
        <v>44652</v>
      </c>
      <c r="D4" s="44">
        <f>EDATE(C4,12)</f>
        <v>45017</v>
      </c>
      <c r="E4" s="44">
        <f>EDATE(D4,12)</f>
        <v>45383</v>
      </c>
      <c r="F4" s="87">
        <f>EDATE(E4,12)</f>
        <v>45748</v>
      </c>
      <c r="G4" s="125"/>
    </row>
    <row r="5" spans="2:7" x14ac:dyDescent="0.25">
      <c r="B5" s="127"/>
      <c r="C5" s="44">
        <f>EDATE(C4,12)-1</f>
        <v>45016</v>
      </c>
      <c r="D5" s="44">
        <f>EDATE(D4,12)-1</f>
        <v>45382</v>
      </c>
      <c r="E5" s="44">
        <f>EDATE(E4,12)-1</f>
        <v>45747</v>
      </c>
      <c r="F5" s="87">
        <f>EDATE(F4,12)-1</f>
        <v>46112</v>
      </c>
      <c r="G5" s="125"/>
    </row>
    <row r="6" spans="2:7" x14ac:dyDescent="0.25">
      <c r="B6" s="34" t="s">
        <v>88</v>
      </c>
      <c r="C6" s="83">
        <v>0.3</v>
      </c>
      <c r="D6" s="83">
        <v>0.35</v>
      </c>
      <c r="E6" s="83">
        <v>0.3</v>
      </c>
      <c r="F6" s="83">
        <v>0.05</v>
      </c>
      <c r="G6" s="34"/>
    </row>
    <row r="7" spans="2:7" ht="30" x14ac:dyDescent="0.25">
      <c r="B7" s="9" t="s">
        <v>87</v>
      </c>
      <c r="C7" s="79">
        <f>C6*ASSUMPTIONS!$G$10</f>
        <v>55866.214333799988</v>
      </c>
      <c r="D7" s="79">
        <f>D6*ASSUMPTIONS!$G$10</f>
        <v>65177.250056099983</v>
      </c>
      <c r="E7" s="79">
        <f>E6*ASSUMPTIONS!$G$10</f>
        <v>55866.214333799988</v>
      </c>
      <c r="F7" s="79">
        <f>F6*ASSUMPTIONS!$G$10</f>
        <v>9311.0357222999992</v>
      </c>
      <c r="G7" s="45">
        <f>SUM(C7,D7,E7,F7)</f>
        <v>186220.71444599997</v>
      </c>
    </row>
  </sheetData>
  <mergeCells count="4">
    <mergeCell ref="G3:G5"/>
    <mergeCell ref="B2:G2"/>
    <mergeCell ref="B3:B5"/>
    <mergeCell ref="C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
  <sheetViews>
    <sheetView zoomScale="85" zoomScaleNormal="85" workbookViewId="0">
      <selection activeCell="E19" sqref="E19"/>
    </sheetView>
  </sheetViews>
  <sheetFormatPr defaultRowHeight="15" x14ac:dyDescent="0.25"/>
  <cols>
    <col min="2" max="2" width="5.7109375" bestFit="1" customWidth="1"/>
    <col min="3" max="3" width="27.42578125" customWidth="1"/>
    <col min="4" max="4" width="15.7109375" customWidth="1"/>
    <col min="5" max="5" width="21.140625" bestFit="1" customWidth="1"/>
    <col min="6" max="6" width="17" bestFit="1" customWidth="1"/>
    <col min="8" max="8" width="17.85546875" customWidth="1"/>
    <col min="9" max="10" width="18.28515625" customWidth="1"/>
    <col min="11" max="11" width="18.140625" bestFit="1" customWidth="1"/>
  </cols>
  <sheetData>
    <row r="2" spans="2:11" ht="40.5" customHeight="1" x14ac:dyDescent="0.25">
      <c r="B2" s="128" t="s">
        <v>90</v>
      </c>
      <c r="C2" s="128"/>
      <c r="D2" s="128"/>
      <c r="E2" s="128"/>
      <c r="F2" s="128"/>
    </row>
    <row r="3" spans="2:11" ht="30" x14ac:dyDescent="0.25">
      <c r="B3" s="32" t="s">
        <v>0</v>
      </c>
      <c r="C3" s="32" t="s">
        <v>28</v>
      </c>
      <c r="D3" s="32" t="s">
        <v>29</v>
      </c>
      <c r="E3" s="32" t="s">
        <v>15</v>
      </c>
      <c r="F3" s="32" t="s">
        <v>14</v>
      </c>
    </row>
    <row r="4" spans="2:11" x14ac:dyDescent="0.25">
      <c r="B4" s="34">
        <v>1</v>
      </c>
      <c r="C4" s="64" t="s">
        <v>89</v>
      </c>
      <c r="D4" s="80">
        <f>ASSUMPTIONS!G10</f>
        <v>186220.71444599997</v>
      </c>
      <c r="E4" s="2">
        <v>4500</v>
      </c>
      <c r="F4" s="3">
        <f>E4*D4</f>
        <v>837993215.00699985</v>
      </c>
      <c r="H4" s="26"/>
    </row>
    <row r="5" spans="2:11" x14ac:dyDescent="0.25">
      <c r="B5" s="129" t="s">
        <v>8</v>
      </c>
      <c r="C5" s="129"/>
      <c r="D5" s="33">
        <f>SUM(D4:D4)</f>
        <v>186220.71444599997</v>
      </c>
      <c r="E5" s="33"/>
      <c r="F5" s="10">
        <f>SUM(F4:F4)</f>
        <v>837993215.00699985</v>
      </c>
    </row>
    <row r="6" spans="2:11" x14ac:dyDescent="0.25">
      <c r="B6" s="130"/>
      <c r="C6" s="131"/>
      <c r="D6" s="131"/>
      <c r="E6" s="131"/>
      <c r="F6" s="132"/>
    </row>
    <row r="7" spans="2:11" ht="51.75" customHeight="1" x14ac:dyDescent="0.25">
      <c r="H7" s="128" t="s">
        <v>37</v>
      </c>
      <c r="I7" s="128"/>
      <c r="J7" s="128"/>
      <c r="K7" s="128"/>
    </row>
    <row r="8" spans="2:11" ht="21.75" customHeight="1" x14ac:dyDescent="0.25">
      <c r="F8" s="30"/>
      <c r="H8" s="29" t="s">
        <v>0</v>
      </c>
      <c r="I8" s="29" t="s">
        <v>1</v>
      </c>
      <c r="J8" s="29" t="s">
        <v>30</v>
      </c>
      <c r="K8" s="29" t="s">
        <v>27</v>
      </c>
    </row>
    <row r="9" spans="2:11" x14ac:dyDescent="0.25">
      <c r="F9" s="30"/>
      <c r="H9" s="1">
        <v>1</v>
      </c>
      <c r="I9" s="1"/>
      <c r="J9" s="1"/>
      <c r="K9" s="35">
        <f>$F$4</f>
        <v>837993215.00699985</v>
      </c>
    </row>
  </sheetData>
  <mergeCells count="4">
    <mergeCell ref="H7:K7"/>
    <mergeCell ref="B5:C5"/>
    <mergeCell ref="B2:F2"/>
    <mergeCell ref="B6:F6"/>
  </mergeCells>
  <phoneticPr fontId="13"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J28"/>
  <sheetViews>
    <sheetView topLeftCell="B15" zoomScale="120" zoomScaleNormal="120" workbookViewId="0">
      <selection activeCell="D6" sqref="D6:H21"/>
    </sheetView>
  </sheetViews>
  <sheetFormatPr defaultRowHeight="15" x14ac:dyDescent="0.25"/>
  <cols>
    <col min="1" max="3" width="9.140625" style="11"/>
    <col min="4" max="4" width="28.42578125" style="11" customWidth="1"/>
    <col min="5" max="5" width="18.5703125" style="11" customWidth="1"/>
    <col min="6" max="6" width="17.28515625" style="11" customWidth="1"/>
    <col min="7" max="8" width="16" style="11" customWidth="1"/>
    <col min="9" max="16384" width="9.140625" style="11"/>
  </cols>
  <sheetData>
    <row r="6" spans="4:10" x14ac:dyDescent="0.25">
      <c r="D6" s="134" t="s">
        <v>12</v>
      </c>
      <c r="E6" s="134"/>
      <c r="F6" s="134"/>
      <c r="G6" s="134"/>
      <c r="H6" s="134"/>
    </row>
    <row r="7" spans="4:10" x14ac:dyDescent="0.25">
      <c r="D7" s="127" t="s">
        <v>10</v>
      </c>
      <c r="E7" s="135" t="s">
        <v>95</v>
      </c>
      <c r="F7" s="135"/>
      <c r="G7" s="135"/>
      <c r="H7" s="89"/>
    </row>
    <row r="8" spans="4:10" x14ac:dyDescent="0.25">
      <c r="D8" s="127"/>
      <c r="E8" s="89">
        <v>44652</v>
      </c>
      <c r="F8" s="89">
        <f>EDATE(E8,12)</f>
        <v>45017</v>
      </c>
      <c r="G8" s="89">
        <f>EDATE(F8,12)</f>
        <v>45383</v>
      </c>
      <c r="H8" s="89">
        <f>EDATE(G8,12)</f>
        <v>45748</v>
      </c>
    </row>
    <row r="9" spans="4:10" x14ac:dyDescent="0.25">
      <c r="D9" s="127"/>
      <c r="E9" s="89">
        <f>EDATE(E8,12)-1</f>
        <v>45016</v>
      </c>
      <c r="F9" s="89">
        <f>EDATE(F8,12)-1</f>
        <v>45382</v>
      </c>
      <c r="G9" s="89">
        <f>EDATE(G8,12)-1</f>
        <v>45747</v>
      </c>
      <c r="H9" s="89">
        <f>EDATE(H8,12)-1</f>
        <v>46112</v>
      </c>
    </row>
    <row r="10" spans="4:10" ht="30" x14ac:dyDescent="0.25">
      <c r="D10" s="27" t="s">
        <v>84</v>
      </c>
      <c r="E10" s="46">
        <f>'Absorption Rate'!C7</f>
        <v>55866.214333799988</v>
      </c>
      <c r="F10" s="46">
        <f>'Absorption Rate'!D7</f>
        <v>65177.250056099983</v>
      </c>
      <c r="G10" s="46">
        <f>'Absorption Rate'!E7</f>
        <v>55866.214333799988</v>
      </c>
      <c r="H10" s="46">
        <f>'Absorption Rate'!F7</f>
        <v>9311.0357222999992</v>
      </c>
    </row>
    <row r="11" spans="4:10" x14ac:dyDescent="0.25">
      <c r="D11" s="27" t="s">
        <v>134</v>
      </c>
      <c r="E11" s="28">
        <f>E10/'Absorption Rate'!$G7</f>
        <v>0.3</v>
      </c>
      <c r="F11" s="28">
        <f>F10/'Absorption Rate'!$G7</f>
        <v>0.35</v>
      </c>
      <c r="G11" s="28">
        <f>G10/'Absorption Rate'!$G7</f>
        <v>0.3</v>
      </c>
      <c r="H11" s="28">
        <f>'Absorption Rate'!F6</f>
        <v>0.05</v>
      </c>
    </row>
    <row r="12" spans="4:10" x14ac:dyDescent="0.25">
      <c r="D12" s="27" t="s">
        <v>86</v>
      </c>
      <c r="E12" s="28">
        <v>0</v>
      </c>
      <c r="F12" s="28">
        <f>ASSUMPTIONS!G20</f>
        <v>0.03</v>
      </c>
      <c r="G12" s="28">
        <f>ASSUMPTIONS!G20</f>
        <v>0.03</v>
      </c>
      <c r="H12" s="28">
        <v>0.08</v>
      </c>
    </row>
    <row r="13" spans="4:10" x14ac:dyDescent="0.25">
      <c r="D13" s="27" t="s">
        <v>85</v>
      </c>
      <c r="E13" s="81">
        <f>ASSUMPTIONS!G19</f>
        <v>4500</v>
      </c>
      <c r="F13" s="81">
        <f>E13*(1+F12)</f>
        <v>4635</v>
      </c>
      <c r="G13" s="81">
        <f>F13*(1+G12)</f>
        <v>4774.05</v>
      </c>
      <c r="H13" s="81">
        <f>G13*(1+H12)</f>
        <v>5155.9740000000002</v>
      </c>
    </row>
    <row r="14" spans="4:10" ht="30" x14ac:dyDescent="0.25">
      <c r="D14" s="121" t="s">
        <v>135</v>
      </c>
      <c r="E14" s="40">
        <f>E13*E10/10^6</f>
        <v>251.39796450209994</v>
      </c>
      <c r="F14" s="40">
        <f>F13*F10/10^6</f>
        <v>302.0965540100234</v>
      </c>
      <c r="G14" s="40">
        <f>G13*G10/10^6</f>
        <v>266.70810054027783</v>
      </c>
      <c r="H14" s="40">
        <f>H13*H10/10^6</f>
        <v>48.007458097250016</v>
      </c>
      <c r="J14" s="82"/>
    </row>
    <row r="15" spans="4:10" ht="30" x14ac:dyDescent="0.25">
      <c r="D15" s="47" t="s">
        <v>136</v>
      </c>
      <c r="E15" s="31">
        <f>E14</f>
        <v>251.39796450209994</v>
      </c>
      <c r="F15" s="31">
        <f>F14</f>
        <v>302.0965540100234</v>
      </c>
      <c r="G15" s="31">
        <f>G14</f>
        <v>266.70810054027783</v>
      </c>
      <c r="H15" s="31">
        <f>H14</f>
        <v>48.007458097250016</v>
      </c>
      <c r="J15" s="13"/>
    </row>
    <row r="16" spans="4:10" x14ac:dyDescent="0.25">
      <c r="D16" s="136"/>
      <c r="E16" s="136"/>
      <c r="F16" s="136"/>
      <c r="G16" s="136"/>
      <c r="H16" s="136"/>
    </row>
    <row r="17" spans="4:8" x14ac:dyDescent="0.25">
      <c r="D17" s="136" t="s">
        <v>9</v>
      </c>
      <c r="E17" s="136"/>
      <c r="F17" s="136"/>
      <c r="G17" s="136"/>
      <c r="H17" s="136"/>
    </row>
    <row r="18" spans="4:8" ht="51" customHeight="1" x14ac:dyDescent="0.25">
      <c r="D18" s="133" t="s">
        <v>97</v>
      </c>
      <c r="E18" s="133"/>
      <c r="F18" s="133"/>
      <c r="G18" s="133"/>
      <c r="H18" s="133"/>
    </row>
    <row r="19" spans="4:8" ht="61.5" customHeight="1" x14ac:dyDescent="0.25">
      <c r="D19" s="133" t="s">
        <v>98</v>
      </c>
      <c r="E19" s="133"/>
      <c r="F19" s="133"/>
      <c r="G19" s="133"/>
      <c r="H19" s="133"/>
    </row>
    <row r="20" spans="4:8" ht="48" customHeight="1" x14ac:dyDescent="0.25">
      <c r="D20" s="133" t="s">
        <v>96</v>
      </c>
      <c r="E20" s="133"/>
      <c r="F20" s="133"/>
      <c r="G20" s="133"/>
      <c r="H20" s="133"/>
    </row>
    <row r="21" spans="4:8" ht="16.5" customHeight="1" x14ac:dyDescent="0.25">
      <c r="D21" s="133" t="s">
        <v>11</v>
      </c>
      <c r="E21" s="133"/>
      <c r="F21" s="133"/>
      <c r="G21" s="133"/>
      <c r="H21" s="133"/>
    </row>
    <row r="28" spans="4:8" x14ac:dyDescent="0.25">
      <c r="F28" s="14"/>
    </row>
  </sheetData>
  <mergeCells count="9">
    <mergeCell ref="D19:H19"/>
    <mergeCell ref="D20:H20"/>
    <mergeCell ref="D21:H21"/>
    <mergeCell ref="D6:H6"/>
    <mergeCell ref="E7:G7"/>
    <mergeCell ref="D7:D9"/>
    <mergeCell ref="D16:H16"/>
    <mergeCell ref="D17:H17"/>
    <mergeCell ref="D18:H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K21"/>
  <sheetViews>
    <sheetView workbookViewId="0">
      <selection activeCell="D6" sqref="D6:G14"/>
    </sheetView>
  </sheetViews>
  <sheetFormatPr defaultRowHeight="15" x14ac:dyDescent="0.25"/>
  <cols>
    <col min="4" max="4" width="19" bestFit="1" customWidth="1"/>
    <col min="5" max="5" width="23.140625" bestFit="1" customWidth="1"/>
    <col min="6" max="6" width="25.85546875" customWidth="1"/>
    <col min="7" max="7" width="18.5703125" bestFit="1" customWidth="1"/>
    <col min="10" max="10" width="25.140625" bestFit="1" customWidth="1"/>
    <col min="11" max="11" width="20.42578125" bestFit="1" customWidth="1"/>
  </cols>
  <sheetData>
    <row r="6" spans="4:11" ht="33" customHeight="1" x14ac:dyDescent="0.25">
      <c r="D6" s="138" t="s">
        <v>137</v>
      </c>
      <c r="E6" s="139"/>
      <c r="F6" s="139"/>
      <c r="G6" s="140"/>
      <c r="J6" s="4" t="s">
        <v>41</v>
      </c>
      <c r="K6" s="4" t="s">
        <v>42</v>
      </c>
    </row>
    <row r="7" spans="4:11" ht="55.5" x14ac:dyDescent="0.25">
      <c r="D7" s="8" t="s">
        <v>49</v>
      </c>
      <c r="E7" s="8" t="s">
        <v>48</v>
      </c>
      <c r="F7" s="8" t="s">
        <v>50</v>
      </c>
      <c r="G7" s="8" t="s">
        <v>51</v>
      </c>
      <c r="J7" s="50"/>
      <c r="K7" s="79">
        <f>ASSUMPTIONS!G10</f>
        <v>186220.71444599997</v>
      </c>
    </row>
    <row r="8" spans="4:11" hidden="1" x14ac:dyDescent="0.25">
      <c r="D8" s="48"/>
      <c r="E8" s="48"/>
      <c r="F8" s="48"/>
      <c r="G8" s="48"/>
    </row>
    <row r="9" spans="4:11" x14ac:dyDescent="0.25">
      <c r="D9" s="56" t="s">
        <v>31</v>
      </c>
      <c r="E9" s="53">
        <f>ASSUMPTIONS!G11*ASSUMPTIONS!G10</f>
        <v>335197286.00279993</v>
      </c>
      <c r="F9" s="53">
        <v>0</v>
      </c>
      <c r="G9" s="53">
        <f>E9-F9</f>
        <v>335197286.00279993</v>
      </c>
    </row>
    <row r="10" spans="4:11" x14ac:dyDescent="0.25">
      <c r="D10" s="56" t="s">
        <v>38</v>
      </c>
      <c r="E10" s="53">
        <f>E9*ASSUMPTIONS!G15</f>
        <v>33519728.600279994</v>
      </c>
      <c r="F10" s="53">
        <v>0</v>
      </c>
      <c r="G10" s="53">
        <f>E10-F10</f>
        <v>33519728.600279994</v>
      </c>
    </row>
    <row r="11" spans="4:11" x14ac:dyDescent="0.25">
      <c r="D11" s="56" t="s">
        <v>39</v>
      </c>
      <c r="E11" s="53">
        <f>E9*ASSUMPTIONS!G16</f>
        <v>26815782.880223993</v>
      </c>
      <c r="F11" s="53">
        <v>0</v>
      </c>
      <c r="G11" s="53">
        <f>E11-F11</f>
        <v>26815782.880223993</v>
      </c>
    </row>
    <row r="12" spans="4:11" x14ac:dyDescent="0.25">
      <c r="D12" s="56" t="s">
        <v>40</v>
      </c>
      <c r="E12" s="53">
        <f>E9*ASSUMPTIONS!G17</f>
        <v>16759864.300139997</v>
      </c>
      <c r="F12" s="53">
        <v>0</v>
      </c>
      <c r="G12" s="53">
        <f>E12-F12</f>
        <v>16759864.300139997</v>
      </c>
    </row>
    <row r="13" spans="4:11" x14ac:dyDescent="0.25">
      <c r="D13" s="62" t="s">
        <v>93</v>
      </c>
      <c r="E13" s="53">
        <f>ASSUMPTIONS!G12*ASSUMPTIONS!G10</f>
        <v>9311035.7222999986</v>
      </c>
      <c r="F13" s="53">
        <v>0</v>
      </c>
      <c r="G13" s="53">
        <f>E13-F13</f>
        <v>9311035.7222999986</v>
      </c>
    </row>
    <row r="14" spans="4:11" s="105" customFormat="1" x14ac:dyDescent="0.25">
      <c r="D14" s="100" t="s">
        <v>8</v>
      </c>
      <c r="E14" s="122">
        <f>SUM(E9:E13)</f>
        <v>421603697.50574392</v>
      </c>
      <c r="F14" s="122">
        <f>SUM(F9:F13)</f>
        <v>0</v>
      </c>
      <c r="G14" s="122">
        <f>SUM(G9:G13)</f>
        <v>421603697.50574392</v>
      </c>
    </row>
    <row r="15" spans="4:11" x14ac:dyDescent="0.25">
      <c r="D15" s="48"/>
      <c r="E15" s="48"/>
      <c r="F15" s="48"/>
      <c r="G15" s="48"/>
    </row>
    <row r="16" spans="4:11" x14ac:dyDescent="0.25">
      <c r="E16" s="30"/>
    </row>
    <row r="18" spans="4:7" x14ac:dyDescent="0.25">
      <c r="D18" s="137"/>
      <c r="E18" s="137"/>
      <c r="F18" s="137"/>
      <c r="G18" s="137"/>
    </row>
    <row r="19" spans="4:7" x14ac:dyDescent="0.25">
      <c r="G19" s="30"/>
    </row>
    <row r="21" spans="4:7" x14ac:dyDescent="0.25">
      <c r="F21" s="30"/>
    </row>
  </sheetData>
  <mergeCells count="2">
    <mergeCell ref="D18:G18"/>
    <mergeCell ref="D6:G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3"/>
  <sheetViews>
    <sheetView zoomScaleNormal="100" workbookViewId="0">
      <selection activeCell="B36" sqref="B2:H36"/>
    </sheetView>
  </sheetViews>
  <sheetFormatPr defaultRowHeight="15" x14ac:dyDescent="0.25"/>
  <cols>
    <col min="2" max="2" width="21.140625" customWidth="1"/>
    <col min="3" max="3" width="33" customWidth="1"/>
    <col min="4" max="4" width="13.28515625" customWidth="1"/>
    <col min="5" max="5" width="14" customWidth="1"/>
    <col min="6" max="6" width="14.5703125" bestFit="1" customWidth="1"/>
    <col min="7" max="7" width="14.5703125" customWidth="1"/>
    <col min="8" max="8" width="14.85546875" customWidth="1"/>
    <col min="10" max="10" width="16.42578125" bestFit="1" customWidth="1"/>
  </cols>
  <sheetData>
    <row r="2" spans="2:10" ht="15.75" x14ac:dyDescent="0.25">
      <c r="B2" s="154" t="s">
        <v>139</v>
      </c>
      <c r="C2" s="154"/>
      <c r="D2" s="154"/>
      <c r="E2" s="154"/>
      <c r="F2" s="154"/>
      <c r="G2" s="154"/>
      <c r="H2" s="154"/>
    </row>
    <row r="3" spans="2:10" x14ac:dyDescent="0.25">
      <c r="B3" s="155"/>
      <c r="C3" s="155"/>
      <c r="D3" s="155"/>
      <c r="E3" s="155"/>
      <c r="F3" s="155"/>
      <c r="G3" s="155"/>
      <c r="H3" s="155"/>
    </row>
    <row r="4" spans="2:10" x14ac:dyDescent="0.25">
      <c r="B4" s="156" t="s">
        <v>2</v>
      </c>
      <c r="C4" s="156" t="s">
        <v>3</v>
      </c>
      <c r="D4" s="58">
        <f>Inflow!E8</f>
        <v>44652</v>
      </c>
      <c r="E4" s="58">
        <f>Inflow!F8</f>
        <v>45017</v>
      </c>
      <c r="F4" s="58">
        <f>Inflow!G8</f>
        <v>45383</v>
      </c>
      <c r="G4" s="58">
        <f>Inflow!H8</f>
        <v>45748</v>
      </c>
      <c r="H4" s="157" t="s">
        <v>52</v>
      </c>
    </row>
    <row r="5" spans="2:10" x14ac:dyDescent="0.25">
      <c r="B5" s="156"/>
      <c r="C5" s="156"/>
      <c r="D5" s="58">
        <f>Inflow!E9</f>
        <v>45016</v>
      </c>
      <c r="E5" s="58">
        <f>Inflow!F9</f>
        <v>45382</v>
      </c>
      <c r="F5" s="58">
        <f>Inflow!G9</f>
        <v>45747</v>
      </c>
      <c r="G5" s="58">
        <f>Inflow!H9</f>
        <v>46112</v>
      </c>
      <c r="H5" s="157"/>
    </row>
    <row r="6" spans="2:10" x14ac:dyDescent="0.25">
      <c r="B6" s="153" t="s">
        <v>53</v>
      </c>
      <c r="C6" s="153"/>
      <c r="D6" s="153"/>
      <c r="E6" s="153"/>
      <c r="F6" s="57"/>
      <c r="G6" s="90"/>
      <c r="H6" s="36"/>
    </row>
    <row r="7" spans="2:10" x14ac:dyDescent="0.25">
      <c r="B7" s="158"/>
      <c r="C7" s="158"/>
      <c r="D7" s="158"/>
      <c r="E7" s="158"/>
      <c r="F7" s="59"/>
      <c r="G7" s="91"/>
      <c r="H7" s="60"/>
    </row>
    <row r="8" spans="2:10" ht="29.25" customHeight="1" x14ac:dyDescent="0.25">
      <c r="B8" s="145" t="s">
        <v>47</v>
      </c>
      <c r="C8" s="145"/>
      <c r="D8" s="24">
        <f>Inflow!E15</f>
        <v>251.39796450209994</v>
      </c>
      <c r="E8" s="24">
        <f>Inflow!F15</f>
        <v>302.0965540100234</v>
      </c>
      <c r="F8" s="24">
        <f>Inflow!G15</f>
        <v>266.70810054027783</v>
      </c>
      <c r="G8" s="24">
        <f>Inflow!H15</f>
        <v>48.007458097250016</v>
      </c>
      <c r="H8" s="24">
        <f>SUM(G8,F8,E8,D8)</f>
        <v>868.21007714965117</v>
      </c>
      <c r="J8" s="49" t="e">
        <f>(H8*10^6)/#REF!</f>
        <v>#REF!</v>
      </c>
    </row>
    <row r="9" spans="2:10" x14ac:dyDescent="0.25">
      <c r="B9" s="160"/>
      <c r="C9" s="160"/>
      <c r="D9" s="160"/>
      <c r="E9" s="160"/>
      <c r="F9" s="160"/>
      <c r="G9" s="160"/>
      <c r="H9" s="160"/>
    </row>
    <row r="10" spans="2:10" x14ac:dyDescent="0.25">
      <c r="B10" s="145" t="s">
        <v>54</v>
      </c>
      <c r="C10" s="145"/>
      <c r="D10" s="24">
        <f>SUM(D8:D8)</f>
        <v>251.39796450209994</v>
      </c>
      <c r="E10" s="24">
        <f>SUM(E8:E8)</f>
        <v>302.0965540100234</v>
      </c>
      <c r="F10" s="24">
        <f>SUM(F8:F8)</f>
        <v>266.70810054027783</v>
      </c>
      <c r="G10" s="24">
        <f>SUM(G8:G8)</f>
        <v>48.007458097250016</v>
      </c>
      <c r="H10" s="24">
        <f>SUM(D10:G10)</f>
        <v>868.21007714965117</v>
      </c>
    </row>
    <row r="11" spans="2:10" x14ac:dyDescent="0.25">
      <c r="B11" s="159"/>
      <c r="C11" s="159"/>
      <c r="D11" s="159"/>
      <c r="E11" s="159"/>
      <c r="F11" s="60"/>
      <c r="G11" s="92"/>
      <c r="H11" s="37"/>
    </row>
    <row r="12" spans="2:10" x14ac:dyDescent="0.25">
      <c r="B12" s="153" t="s">
        <v>4</v>
      </c>
      <c r="C12" s="153"/>
      <c r="D12" s="153"/>
      <c r="E12" s="153"/>
      <c r="F12" s="153"/>
      <c r="G12" s="153"/>
      <c r="H12" s="153"/>
    </row>
    <row r="13" spans="2:10" x14ac:dyDescent="0.25">
      <c r="B13" s="129"/>
      <c r="C13" s="129"/>
      <c r="D13" s="129"/>
      <c r="E13" s="129"/>
      <c r="F13" s="129"/>
      <c r="G13" s="88"/>
      <c r="H13" s="61"/>
    </row>
    <row r="14" spans="2:10" x14ac:dyDescent="0.25">
      <c r="B14" s="146" t="s">
        <v>5</v>
      </c>
      <c r="C14" s="146"/>
      <c r="D14" s="146"/>
      <c r="E14" s="146"/>
      <c r="F14" s="61"/>
      <c r="G14" s="93"/>
      <c r="H14" s="61"/>
    </row>
    <row r="15" spans="2:10" x14ac:dyDescent="0.25">
      <c r="B15" s="145" t="s">
        <v>45</v>
      </c>
      <c r="C15" s="145"/>
      <c r="D15" s="24">
        <f>-('Total Outflow'!$G$9*30%)/10^6</f>
        <v>-100.55918580083997</v>
      </c>
      <c r="E15" s="24">
        <f>-('Total Outflow'!$G$9*35%)/10^6</f>
        <v>-117.31905010097996</v>
      </c>
      <c r="F15" s="24">
        <f>-('Total Outflow'!$G$9*35%)/10^6</f>
        <v>-117.31905010097996</v>
      </c>
      <c r="G15" s="24">
        <v>0</v>
      </c>
      <c r="H15" s="24">
        <f>SUM(G15,F15,E15,D15)</f>
        <v>-335.1972860027999</v>
      </c>
    </row>
    <row r="16" spans="2:10" x14ac:dyDescent="0.25">
      <c r="B16" s="145" t="s">
        <v>46</v>
      </c>
      <c r="C16" s="145"/>
      <c r="D16" s="24">
        <f>-('Total Outflow'!$G$11*30%)/10^6</f>
        <v>-8.0447348640671983</v>
      </c>
      <c r="E16" s="24">
        <f>-('Total Outflow'!$G$11*35%)/10^6</f>
        <v>-9.3855240080783968</v>
      </c>
      <c r="F16" s="24">
        <f>-('Total Outflow'!$G$11*35%)/10^6</f>
        <v>-9.3855240080783968</v>
      </c>
      <c r="G16" s="24">
        <v>0</v>
      </c>
      <c r="H16" s="24">
        <f>SUM(G16,F16,E16,D16)</f>
        <v>-26.815782880223992</v>
      </c>
    </row>
    <row r="17" spans="2:16" ht="15" customHeight="1" x14ac:dyDescent="0.25">
      <c r="B17" s="152" t="s">
        <v>94</v>
      </c>
      <c r="C17" s="152"/>
      <c r="D17" s="24">
        <f>-('Total Outflow'!$G$13*30%/10^6)</f>
        <v>-2.7933107166899998</v>
      </c>
      <c r="E17" s="24">
        <f>-('Total Outflow'!$G$13*35%/10^6)</f>
        <v>-3.2588625028049991</v>
      </c>
      <c r="F17" s="24">
        <f>-('Total Outflow'!$G$13*35%/10^6)</f>
        <v>-3.2588625028049991</v>
      </c>
      <c r="G17" s="24">
        <v>0</v>
      </c>
      <c r="H17" s="24">
        <f>SUM(G17,F17,E17,D17)</f>
        <v>-9.311035722299998</v>
      </c>
      <c r="L17">
        <v>20</v>
      </c>
      <c r="M17">
        <v>35</v>
      </c>
      <c r="N17">
        <v>35</v>
      </c>
      <c r="O17">
        <v>10</v>
      </c>
    </row>
    <row r="18" spans="2:16" x14ac:dyDescent="0.25">
      <c r="B18" s="129"/>
      <c r="C18" s="129"/>
      <c r="D18" s="129"/>
      <c r="E18" s="129"/>
      <c r="F18" s="129"/>
      <c r="G18" s="88"/>
      <c r="H18" s="37"/>
    </row>
    <row r="19" spans="2:16" x14ac:dyDescent="0.25">
      <c r="B19" s="146" t="s">
        <v>6</v>
      </c>
      <c r="C19" s="146"/>
      <c r="D19" s="146"/>
      <c r="E19" s="146"/>
      <c r="F19" s="61"/>
      <c r="G19" s="93"/>
      <c r="H19" s="61"/>
    </row>
    <row r="20" spans="2:16" x14ac:dyDescent="0.25">
      <c r="B20" s="145" t="s">
        <v>43</v>
      </c>
      <c r="C20" s="146"/>
      <c r="D20" s="24">
        <f>-('Total Outflow'!$G$10*30%)/10^6</f>
        <v>-10.055918580083999</v>
      </c>
      <c r="E20" s="24">
        <f>-('Total Outflow'!$G$10*35%)/10^6</f>
        <v>-11.731905010097996</v>
      </c>
      <c r="F20" s="24">
        <f>-('Total Outflow'!$G$10*35%)/10^6</f>
        <v>-11.731905010097996</v>
      </c>
      <c r="G20" s="24">
        <v>0</v>
      </c>
      <c r="H20" s="24">
        <f>SUM(D20:G20)</f>
        <v>-33.51972860027999</v>
      </c>
    </row>
    <row r="21" spans="2:16" x14ac:dyDescent="0.25">
      <c r="B21" s="145" t="s">
        <v>44</v>
      </c>
      <c r="C21" s="146"/>
      <c r="D21" s="24">
        <f>-('Total Outflow'!$G$12*30%)/10^6</f>
        <v>-5.0279592900419994</v>
      </c>
      <c r="E21" s="24">
        <f>-('Total Outflow'!$G$12*35%)/10^6</f>
        <v>-5.8659525050489982</v>
      </c>
      <c r="F21" s="24">
        <f>-('Total Outflow'!$G$12*35%)/10^6</f>
        <v>-5.8659525050489982</v>
      </c>
      <c r="G21" s="24">
        <v>0</v>
      </c>
      <c r="H21" s="24">
        <f>SUM(D21:G21)</f>
        <v>-16.759864300139995</v>
      </c>
      <c r="N21" s="5"/>
      <c r="O21" s="5"/>
    </row>
    <row r="22" spans="2:16" x14ac:dyDescent="0.25">
      <c r="B22" s="129"/>
      <c r="C22" s="129"/>
      <c r="D22" s="129"/>
      <c r="E22" s="129"/>
      <c r="F22" s="129"/>
      <c r="G22" s="88"/>
      <c r="H22" s="37"/>
      <c r="N22" s="5"/>
      <c r="O22" s="6"/>
    </row>
    <row r="23" spans="2:16" x14ac:dyDescent="0.25">
      <c r="B23" s="147" t="s">
        <v>55</v>
      </c>
      <c r="C23" s="147"/>
      <c r="D23" s="24">
        <f>D15+D16+D20+D21+D17</f>
        <v>-126.48110925172317</v>
      </c>
      <c r="E23" s="24">
        <f>E15+E16+E20+E21+E17</f>
        <v>-147.56129412701034</v>
      </c>
      <c r="F23" s="24">
        <f>F15+F16+F20+F21+F17</f>
        <v>-147.56129412701034</v>
      </c>
      <c r="G23" s="24">
        <f>G15+G16+G20+G21+G17</f>
        <v>0</v>
      </c>
      <c r="H23" s="24">
        <f>SUM(G23,F23,E23,D23)</f>
        <v>-421.60369750574387</v>
      </c>
    </row>
    <row r="24" spans="2:16" x14ac:dyDescent="0.25">
      <c r="B24" s="129"/>
      <c r="C24" s="129"/>
      <c r="D24" s="129"/>
      <c r="E24" s="129"/>
      <c r="F24" s="129"/>
      <c r="G24" s="88"/>
      <c r="H24" s="37"/>
      <c r="N24" s="7"/>
    </row>
    <row r="25" spans="2:16" x14ac:dyDescent="0.25">
      <c r="B25" s="148" t="s">
        <v>56</v>
      </c>
      <c r="C25" s="148"/>
      <c r="D25" s="54">
        <f>D10+D23</f>
        <v>124.91685525037677</v>
      </c>
      <c r="E25" s="54">
        <f>E10+E23</f>
        <v>154.53525988301305</v>
      </c>
      <c r="F25" s="54">
        <f>F10+F23</f>
        <v>119.14680641326748</v>
      </c>
      <c r="G25" s="54">
        <f>G10+G23</f>
        <v>48.007458097250016</v>
      </c>
      <c r="H25" s="54">
        <f>H10+H23</f>
        <v>446.6063796439073</v>
      </c>
      <c r="J25" s="94"/>
    </row>
    <row r="26" spans="2:16" x14ac:dyDescent="0.25">
      <c r="B26" s="146"/>
      <c r="C26" s="146"/>
      <c r="D26" s="146"/>
      <c r="E26" s="146"/>
      <c r="F26" s="61"/>
      <c r="G26" s="93"/>
      <c r="H26" s="60"/>
      <c r="N26" t="s">
        <v>32</v>
      </c>
      <c r="O26" s="6">
        <v>0.125</v>
      </c>
      <c r="P26" s="5">
        <v>0.75</v>
      </c>
    </row>
    <row r="27" spans="2:16" x14ac:dyDescent="0.25">
      <c r="B27" s="148" t="s">
        <v>35</v>
      </c>
      <c r="C27" s="148"/>
      <c r="D27" s="38">
        <f>XNPV(D29,D25:G25,D5:G5)</f>
        <v>395.39522738470043</v>
      </c>
      <c r="E27" s="149"/>
      <c r="F27" s="149"/>
      <c r="G27" s="149"/>
      <c r="H27" s="149"/>
      <c r="I27" s="15"/>
      <c r="J27" s="49">
        <f>XNPV(D29,D25:F25,D4:F4)</f>
        <v>360.45564532592925</v>
      </c>
      <c r="N27" t="s">
        <v>33</v>
      </c>
      <c r="O27" s="6">
        <v>0.22</v>
      </c>
      <c r="P27" s="5">
        <v>0.25</v>
      </c>
    </row>
    <row r="28" spans="2:16" x14ac:dyDescent="0.25">
      <c r="B28" s="150"/>
      <c r="C28" s="150"/>
      <c r="D28" s="150"/>
      <c r="E28" s="149"/>
      <c r="F28" s="149"/>
      <c r="G28" s="149"/>
      <c r="H28" s="149"/>
      <c r="J28" s="49"/>
    </row>
    <row r="29" spans="2:16" x14ac:dyDescent="0.25">
      <c r="B29" s="151" t="s">
        <v>7</v>
      </c>
      <c r="C29" s="151"/>
      <c r="D29" s="84">
        <f>ASSUMPTIONS!G30</f>
        <v>0.11119137500000001</v>
      </c>
      <c r="E29" s="149"/>
      <c r="F29" s="149"/>
      <c r="G29" s="149"/>
      <c r="H29" s="149"/>
      <c r="O29" t="s">
        <v>34</v>
      </c>
      <c r="P29" s="7">
        <f>SUMPRODUCT(O26:O27,P26:P27)</f>
        <v>0.14874999999999999</v>
      </c>
    </row>
    <row r="30" spans="2:16" x14ac:dyDescent="0.25">
      <c r="B30" s="144"/>
      <c r="C30" s="144"/>
      <c r="D30" s="144"/>
      <c r="E30" s="144"/>
      <c r="F30" s="144"/>
      <c r="G30" s="144"/>
      <c r="H30" s="144"/>
    </row>
    <row r="31" spans="2:16" x14ac:dyDescent="0.25">
      <c r="B31" s="142" t="s">
        <v>13</v>
      </c>
      <c r="C31" s="142"/>
      <c r="D31" s="142"/>
      <c r="E31" s="142"/>
      <c r="F31" s="142"/>
      <c r="G31" s="142"/>
      <c r="H31" s="142"/>
    </row>
    <row r="32" spans="2:16" x14ac:dyDescent="0.25">
      <c r="B32" s="141" t="s">
        <v>36</v>
      </c>
      <c r="C32" s="141"/>
      <c r="D32" s="141"/>
      <c r="E32" s="141"/>
      <c r="F32" s="141"/>
      <c r="G32" s="141"/>
      <c r="H32" s="141"/>
    </row>
    <row r="33" spans="2:14" ht="33" customHeight="1" x14ac:dyDescent="0.25">
      <c r="B33" s="141" t="s">
        <v>57</v>
      </c>
      <c r="C33" s="141"/>
      <c r="D33" s="141"/>
      <c r="E33" s="141"/>
      <c r="F33" s="141"/>
      <c r="G33" s="141"/>
      <c r="H33" s="141"/>
    </row>
    <row r="34" spans="2:14" ht="34.5" customHeight="1" x14ac:dyDescent="0.25">
      <c r="B34" s="141" t="s">
        <v>26</v>
      </c>
      <c r="C34" s="141"/>
      <c r="D34" s="141"/>
      <c r="E34" s="141"/>
      <c r="F34" s="141"/>
      <c r="G34" s="141"/>
      <c r="H34" s="141"/>
    </row>
    <row r="35" spans="2:14" ht="121.5" hidden="1" customHeight="1" x14ac:dyDescent="0.25">
      <c r="B35" s="143" t="s">
        <v>99</v>
      </c>
      <c r="C35" s="143"/>
      <c r="D35" s="143"/>
      <c r="E35" s="143"/>
      <c r="F35" s="143"/>
      <c r="G35" s="143"/>
      <c r="H35" s="143"/>
    </row>
    <row r="36" spans="2:14" ht="29.25" customHeight="1" x14ac:dyDescent="0.25">
      <c r="B36" s="141" t="s">
        <v>141</v>
      </c>
      <c r="C36" s="141"/>
      <c r="D36" s="141"/>
      <c r="E36" s="141"/>
      <c r="F36" s="141"/>
      <c r="G36" s="141"/>
      <c r="H36" s="141"/>
    </row>
    <row r="39" spans="2:14" x14ac:dyDescent="0.25">
      <c r="K39" s="41"/>
      <c r="L39" s="41"/>
      <c r="M39" s="41"/>
      <c r="N39" s="41"/>
    </row>
    <row r="40" spans="2:14" x14ac:dyDescent="0.25">
      <c r="K40" s="41"/>
      <c r="L40" s="42"/>
      <c r="M40" s="42"/>
      <c r="N40" s="42"/>
    </row>
    <row r="41" spans="2:14" x14ac:dyDescent="0.25">
      <c r="K41" s="41"/>
      <c r="L41" s="42"/>
      <c r="M41" s="42"/>
      <c r="N41" s="42"/>
    </row>
    <row r="42" spans="2:14" x14ac:dyDescent="0.25">
      <c r="K42" s="41"/>
      <c r="L42" s="34"/>
      <c r="M42" s="34"/>
      <c r="N42" s="34"/>
    </row>
    <row r="43" spans="2:14" x14ac:dyDescent="0.25">
      <c r="K43" s="41"/>
      <c r="L43" s="43"/>
      <c r="M43" s="34"/>
      <c r="N43" s="34"/>
    </row>
  </sheetData>
  <mergeCells count="37">
    <mergeCell ref="B13:F13"/>
    <mergeCell ref="B12:H12"/>
    <mergeCell ref="B2:H2"/>
    <mergeCell ref="B3:H3"/>
    <mergeCell ref="B4:B5"/>
    <mergeCell ref="C4:C5"/>
    <mergeCell ref="H4:H5"/>
    <mergeCell ref="B6:E6"/>
    <mergeCell ref="B7:E7"/>
    <mergeCell ref="B8:C8"/>
    <mergeCell ref="B10:C10"/>
    <mergeCell ref="B11:E11"/>
    <mergeCell ref="B9:H9"/>
    <mergeCell ref="B14:E14"/>
    <mergeCell ref="B15:C15"/>
    <mergeCell ref="B19:E19"/>
    <mergeCell ref="B16:C16"/>
    <mergeCell ref="B18:F18"/>
    <mergeCell ref="B17:C17"/>
    <mergeCell ref="B30:H30"/>
    <mergeCell ref="B20:C20"/>
    <mergeCell ref="B21:C21"/>
    <mergeCell ref="B23:C23"/>
    <mergeCell ref="B25:C25"/>
    <mergeCell ref="B26:E26"/>
    <mergeCell ref="B27:C27"/>
    <mergeCell ref="E27:H29"/>
    <mergeCell ref="B28:D28"/>
    <mergeCell ref="B29:C29"/>
    <mergeCell ref="B24:F24"/>
    <mergeCell ref="B22:F22"/>
    <mergeCell ref="B36:H36"/>
    <mergeCell ref="B31:H31"/>
    <mergeCell ref="B32:H32"/>
    <mergeCell ref="B33:H33"/>
    <mergeCell ref="B34:H34"/>
    <mergeCell ref="B35:H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6"/>
  <sheetViews>
    <sheetView showGridLines="0" workbookViewId="0">
      <selection activeCell="K18" sqref="K18"/>
    </sheetView>
  </sheetViews>
  <sheetFormatPr defaultRowHeight="15" x14ac:dyDescent="0.25"/>
  <cols>
    <col min="1" max="2" width="9.140625" style="17"/>
    <col min="3" max="3" width="17.7109375" style="17" customWidth="1"/>
    <col min="4" max="4" width="22.5703125" style="17" customWidth="1"/>
    <col min="5" max="5" width="12.5703125" style="18" customWidth="1"/>
    <col min="6" max="6" width="11.7109375" style="18" customWidth="1"/>
    <col min="7" max="8" width="11.28515625" style="18" customWidth="1"/>
    <col min="9" max="9" width="24.140625" style="17" bestFit="1" customWidth="1"/>
    <col min="10" max="10" width="9.140625" style="17"/>
    <col min="11" max="11" width="16.85546875" style="17" bestFit="1" customWidth="1"/>
    <col min="12" max="16384" width="9.140625" style="17"/>
  </cols>
  <sheetData>
    <row r="3" spans="1:11" ht="30.75" customHeight="1" x14ac:dyDescent="0.25">
      <c r="A3" s="19" t="s">
        <v>16</v>
      </c>
      <c r="B3" s="19" t="s">
        <v>17</v>
      </c>
      <c r="C3" s="126" t="s">
        <v>140</v>
      </c>
      <c r="D3" s="126"/>
      <c r="E3" s="126"/>
      <c r="F3" s="126"/>
      <c r="G3" s="126"/>
      <c r="H3" s="126"/>
      <c r="I3" s="126"/>
    </row>
    <row r="4" spans="1:11" x14ac:dyDescent="0.25">
      <c r="A4" s="20"/>
      <c r="B4" s="20"/>
      <c r="C4" s="163"/>
      <c r="D4" s="163"/>
      <c r="E4" s="163"/>
      <c r="F4" s="163"/>
      <c r="G4" s="163"/>
      <c r="H4" s="163"/>
      <c r="I4" s="163"/>
    </row>
    <row r="5" spans="1:11" ht="27.75" x14ac:dyDescent="0.25">
      <c r="A5" s="21"/>
      <c r="B5" s="21"/>
      <c r="C5" s="12" t="s">
        <v>2</v>
      </c>
      <c r="D5" s="12" t="s">
        <v>3</v>
      </c>
      <c r="E5" s="22">
        <f>DCF!D5</f>
        <v>45016</v>
      </c>
      <c r="F5" s="22">
        <f>DCF!E5</f>
        <v>45382</v>
      </c>
      <c r="G5" s="22">
        <f>DCF!F5</f>
        <v>45747</v>
      </c>
      <c r="H5" s="22">
        <f>DCF!G5</f>
        <v>46112</v>
      </c>
      <c r="I5" s="39" t="s">
        <v>18</v>
      </c>
    </row>
    <row r="6" spans="1:11" x14ac:dyDescent="0.25">
      <c r="A6" s="21"/>
      <c r="B6" s="21"/>
      <c r="C6" s="164" t="s">
        <v>19</v>
      </c>
      <c r="D6" s="164"/>
      <c r="E6" s="23">
        <f>DCF!D10</f>
        <v>251.39796450209994</v>
      </c>
      <c r="F6" s="23">
        <f>DCF!E10</f>
        <v>302.0965540100234</v>
      </c>
      <c r="G6" s="23">
        <f>DCF!F10</f>
        <v>266.70810054027783</v>
      </c>
      <c r="H6" s="23">
        <f>DCF!G10</f>
        <v>48.007458097250016</v>
      </c>
      <c r="I6" s="23">
        <f>SUM(E6,F6,G6,H6)</f>
        <v>868.21007714965117</v>
      </c>
    </row>
    <row r="7" spans="1:11" x14ac:dyDescent="0.25">
      <c r="A7" s="21"/>
      <c r="B7" s="21"/>
      <c r="C7" s="165" t="s">
        <v>20</v>
      </c>
      <c r="D7" s="165"/>
      <c r="E7" s="24">
        <f>DCF!D23</f>
        <v>-126.48110925172317</v>
      </c>
      <c r="F7" s="24">
        <f>DCF!E23</f>
        <v>-147.56129412701034</v>
      </c>
      <c r="G7" s="24">
        <f>DCF!F23</f>
        <v>-147.56129412701034</v>
      </c>
      <c r="H7" s="24">
        <f>DCF!G23</f>
        <v>0</v>
      </c>
      <c r="I7" s="24">
        <f>SUM(E7:G7)</f>
        <v>-421.60369750574387</v>
      </c>
    </row>
    <row r="8" spans="1:11" x14ac:dyDescent="0.25">
      <c r="A8" s="21"/>
      <c r="B8" s="21"/>
      <c r="C8" s="166"/>
      <c r="D8" s="166"/>
      <c r="E8" s="166"/>
      <c r="F8" s="166"/>
      <c r="G8" s="166"/>
      <c r="H8" s="166"/>
      <c r="I8" s="166"/>
    </row>
    <row r="9" spans="1:11" x14ac:dyDescent="0.25">
      <c r="A9" s="21"/>
      <c r="B9" s="21"/>
      <c r="C9" s="164" t="s">
        <v>21</v>
      </c>
      <c r="D9" s="164"/>
      <c r="E9" s="23">
        <f>SUM(E6,E7)</f>
        <v>124.91685525037677</v>
      </c>
      <c r="F9" s="23">
        <f>SUM(F6,F7)</f>
        <v>154.53525988301305</v>
      </c>
      <c r="G9" s="23">
        <f>SUM(G6,G7)</f>
        <v>119.14680641326748</v>
      </c>
      <c r="H9" s="23">
        <f>SUM(H6,H7)</f>
        <v>48.007458097250016</v>
      </c>
      <c r="I9" s="23">
        <f>SUM(I6,I7)</f>
        <v>446.6063796439073</v>
      </c>
    </row>
    <row r="10" spans="1:11" x14ac:dyDescent="0.25">
      <c r="A10" s="21"/>
      <c r="B10" s="21"/>
      <c r="C10" s="166"/>
      <c r="D10" s="166"/>
      <c r="E10" s="166"/>
      <c r="F10" s="166"/>
      <c r="G10" s="166"/>
      <c r="H10" s="166"/>
      <c r="I10" s="166"/>
    </row>
    <row r="11" spans="1:11" x14ac:dyDescent="0.25">
      <c r="A11" s="21"/>
      <c r="B11" s="21"/>
      <c r="C11" s="164" t="s">
        <v>22</v>
      </c>
      <c r="D11" s="164"/>
      <c r="E11" s="25">
        <f>DCF!$D$27</f>
        <v>395.39522738470043</v>
      </c>
      <c r="F11" s="169"/>
      <c r="G11" s="169"/>
      <c r="H11" s="169"/>
      <c r="I11" s="169"/>
    </row>
    <row r="12" spans="1:11" x14ac:dyDescent="0.25">
      <c r="A12" s="21"/>
      <c r="B12" s="21"/>
      <c r="C12" s="164" t="s">
        <v>23</v>
      </c>
      <c r="D12" s="164"/>
      <c r="E12" s="25">
        <f>ROUND(E11,-1)</f>
        <v>400</v>
      </c>
      <c r="F12" s="169"/>
      <c r="G12" s="169"/>
      <c r="H12" s="169"/>
      <c r="I12" s="169"/>
    </row>
    <row r="13" spans="1:11" x14ac:dyDescent="0.25">
      <c r="C13" s="163"/>
      <c r="D13" s="163"/>
      <c r="E13" s="163"/>
      <c r="F13" s="163"/>
      <c r="G13" s="163"/>
      <c r="H13" s="163"/>
      <c r="I13" s="163"/>
      <c r="K13" s="86"/>
    </row>
    <row r="14" spans="1:11" ht="30" customHeight="1" x14ac:dyDescent="0.25">
      <c r="C14" s="167" t="s">
        <v>24</v>
      </c>
      <c r="D14" s="167"/>
      <c r="E14" s="16">
        <f>E12*(1-15%)</f>
        <v>340</v>
      </c>
      <c r="F14" s="168"/>
      <c r="G14" s="168"/>
      <c r="H14" s="168"/>
      <c r="I14" s="168"/>
      <c r="J14" s="55"/>
      <c r="K14" s="55"/>
    </row>
    <row r="15" spans="1:11" ht="30" customHeight="1" x14ac:dyDescent="0.25">
      <c r="C15" s="167" t="s">
        <v>25</v>
      </c>
      <c r="D15" s="167"/>
      <c r="E15" s="16">
        <f>E12*(1-25%)</f>
        <v>300</v>
      </c>
      <c r="F15" s="168"/>
      <c r="G15" s="168"/>
      <c r="H15" s="168"/>
      <c r="I15" s="168"/>
    </row>
    <row r="16" spans="1:11" ht="28.5" customHeight="1" x14ac:dyDescent="0.25">
      <c r="C16" s="161" t="s">
        <v>58</v>
      </c>
      <c r="D16" s="162"/>
      <c r="E16" s="162"/>
      <c r="F16" s="162"/>
      <c r="G16" s="162"/>
      <c r="H16" s="162"/>
      <c r="I16" s="162"/>
      <c r="K16" s="86"/>
    </row>
  </sheetData>
  <mergeCells count="15">
    <mergeCell ref="C16:I16"/>
    <mergeCell ref="C3:I3"/>
    <mergeCell ref="C4:I4"/>
    <mergeCell ref="C6:D6"/>
    <mergeCell ref="C7:D7"/>
    <mergeCell ref="C9:D9"/>
    <mergeCell ref="C8:I8"/>
    <mergeCell ref="C13:I13"/>
    <mergeCell ref="C14:D14"/>
    <mergeCell ref="F14:I15"/>
    <mergeCell ref="C15:D15"/>
    <mergeCell ref="C10:I10"/>
    <mergeCell ref="F11:I12"/>
    <mergeCell ref="C11:D11"/>
    <mergeCell ref="C12:D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6:M11"/>
  <sheetViews>
    <sheetView workbookViewId="0">
      <selection activeCell="I21" sqref="I21"/>
    </sheetView>
  </sheetViews>
  <sheetFormatPr defaultRowHeight="15" x14ac:dyDescent="0.25"/>
  <cols>
    <col min="7" max="7" width="6.28515625" customWidth="1"/>
    <col min="8" max="8" width="11.42578125" bestFit="1" customWidth="1"/>
    <col min="9" max="9" width="11.85546875" customWidth="1"/>
    <col min="10" max="10" width="27.85546875" bestFit="1" customWidth="1"/>
  </cols>
  <sheetData>
    <row r="6" spans="7:13" s="106" customFormat="1" ht="45" x14ac:dyDescent="0.25">
      <c r="G6" s="107" t="s">
        <v>111</v>
      </c>
      <c r="H6" s="107" t="s">
        <v>112</v>
      </c>
      <c r="I6" s="107" t="s">
        <v>113</v>
      </c>
      <c r="J6" s="107" t="s">
        <v>114</v>
      </c>
      <c r="K6" s="107" t="s">
        <v>115</v>
      </c>
      <c r="L6" s="107" t="s">
        <v>116</v>
      </c>
      <c r="M6" s="107" t="s">
        <v>117</v>
      </c>
    </row>
    <row r="7" spans="7:13" ht="30" x14ac:dyDescent="0.25">
      <c r="G7" s="99">
        <v>1</v>
      </c>
      <c r="H7" s="99">
        <v>3345</v>
      </c>
      <c r="I7" s="99">
        <v>3680</v>
      </c>
      <c r="J7" s="103" t="s">
        <v>118</v>
      </c>
      <c r="K7" s="99">
        <v>0.09</v>
      </c>
      <c r="L7" s="63">
        <f>K7*4046.86</f>
        <v>364.2174</v>
      </c>
      <c r="M7" s="99" t="s">
        <v>121</v>
      </c>
    </row>
    <row r="8" spans="7:13" ht="30" x14ac:dyDescent="0.25">
      <c r="G8" s="99">
        <v>2</v>
      </c>
      <c r="H8" s="99">
        <v>3347</v>
      </c>
      <c r="I8" s="99">
        <v>3680</v>
      </c>
      <c r="J8" s="103" t="s">
        <v>118</v>
      </c>
      <c r="K8" s="99">
        <v>0.81</v>
      </c>
      <c r="L8" s="63">
        <f>K8*4046.86</f>
        <v>3277.9566000000004</v>
      </c>
      <c r="M8" s="99" t="s">
        <v>122</v>
      </c>
    </row>
    <row r="9" spans="7:13" x14ac:dyDescent="0.25">
      <c r="G9" s="99">
        <v>3</v>
      </c>
      <c r="H9" s="99">
        <v>3348</v>
      </c>
      <c r="I9" s="99">
        <v>2925</v>
      </c>
      <c r="J9" s="52" t="s">
        <v>119</v>
      </c>
      <c r="K9" s="99">
        <v>0.5</v>
      </c>
      <c r="L9" s="63">
        <f>K9*4046.86</f>
        <v>2023.43</v>
      </c>
      <c r="M9" s="99" t="s">
        <v>123</v>
      </c>
    </row>
    <row r="10" spans="7:13" x14ac:dyDescent="0.25">
      <c r="G10" s="99">
        <v>4</v>
      </c>
      <c r="H10" s="99">
        <v>3348</v>
      </c>
      <c r="I10" s="99">
        <v>3203</v>
      </c>
      <c r="J10" s="52" t="s">
        <v>120</v>
      </c>
      <c r="K10" s="99">
        <v>0.5</v>
      </c>
      <c r="L10" s="63">
        <f>K10*4046.86</f>
        <v>2023.43</v>
      </c>
      <c r="M10" s="99" t="s">
        <v>123</v>
      </c>
    </row>
    <row r="11" spans="7:13" s="105" customFormat="1" x14ac:dyDescent="0.25">
      <c r="G11" s="170" t="s">
        <v>124</v>
      </c>
      <c r="H11" s="171"/>
      <c r="I11" s="171"/>
      <c r="J11" s="172"/>
      <c r="K11" s="98">
        <f>SUM(K7:K10)</f>
        <v>1.9</v>
      </c>
      <c r="L11" s="104">
        <f>SUM(L7:L10)</f>
        <v>7689.0340000000006</v>
      </c>
      <c r="M11" s="98"/>
    </row>
  </sheetData>
  <mergeCells count="1">
    <mergeCell ref="G11:J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ASSUMPTIONS</vt:lpstr>
      <vt:lpstr>Absorption Rate</vt:lpstr>
      <vt:lpstr>Residential Inflow</vt:lpstr>
      <vt:lpstr>Inflow</vt:lpstr>
      <vt:lpstr>Total Outflow</vt:lpstr>
      <vt:lpstr>DCF</vt:lpstr>
      <vt:lpstr>Consolidated Summary</vt:lpstr>
      <vt:lpstr>as per tir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Garg - Corporate Finance</dc:creator>
  <cp:lastModifiedBy>Zaid Ebne Mairaz</cp:lastModifiedBy>
  <dcterms:created xsi:type="dcterms:W3CDTF">2020-02-03T05:38:58Z</dcterms:created>
  <dcterms:modified xsi:type="dcterms:W3CDTF">2022-03-15T09:31:45Z</dcterms:modified>
</cp:coreProperties>
</file>