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Harshit Mayank\dawat food\"/>
    </mc:Choice>
  </mc:AlternateContent>
  <bookViews>
    <workbookView minimized="1" showVerticalScroll="0" xWindow="0" yWindow="0" windowWidth="5100" windowHeight="915"/>
  </bookViews>
  <sheets>
    <sheet name="buildiong" sheetId="1" r:id="rId1"/>
    <sheet name="Sheet3" sheetId="3" r:id="rId2"/>
    <sheet name="Land" sheetId="2" r:id="rId3"/>
  </sheets>
  <definedNames>
    <definedName name="_xlnm._FilterDatabase" localSheetId="0" hidden="1">buildiong!$B$3:$V$27</definedName>
    <definedName name="_xlnm.Print_Area" localSheetId="0">buildiong!$B$1:$T$27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K17" i="1"/>
  <c r="K18" i="1"/>
  <c r="K19" i="1"/>
  <c r="K20" i="1"/>
  <c r="K21" i="1"/>
  <c r="K22" i="1"/>
  <c r="K23" i="1"/>
  <c r="G22" i="1"/>
  <c r="G23" i="1"/>
  <c r="G17" i="1"/>
  <c r="G18" i="1"/>
  <c r="G19" i="1"/>
  <c r="G20" i="1"/>
  <c r="G21" i="1"/>
  <c r="G15" i="1"/>
  <c r="G14" i="1"/>
  <c r="G13" i="1"/>
  <c r="V13" i="1" s="1"/>
  <c r="G12" i="1"/>
  <c r="G11" i="1"/>
  <c r="G10" i="1"/>
  <c r="V10" i="1" s="1"/>
  <c r="G9" i="1"/>
  <c r="K9" i="1"/>
  <c r="K10" i="1"/>
  <c r="K11" i="1"/>
  <c r="K12" i="1"/>
  <c r="K13" i="1"/>
  <c r="K14" i="1"/>
  <c r="K15" i="1"/>
  <c r="N9" i="1"/>
  <c r="N10" i="1"/>
  <c r="N11" i="1"/>
  <c r="N12" i="1"/>
  <c r="N13" i="1"/>
  <c r="N14" i="1"/>
  <c r="N15" i="1"/>
  <c r="P10" i="1"/>
  <c r="P13" i="1"/>
  <c r="G7" i="1"/>
  <c r="K7" i="1"/>
  <c r="N7" i="1"/>
  <c r="N5" i="1"/>
  <c r="N6" i="1"/>
  <c r="K5" i="1"/>
  <c r="K6" i="1"/>
  <c r="P7" i="1" l="1"/>
  <c r="V7" i="1"/>
  <c r="P12" i="1"/>
  <c r="Q12" i="1" s="1"/>
  <c r="R12" i="1" s="1"/>
  <c r="T12" i="1" s="1"/>
  <c r="V12" i="1"/>
  <c r="P14" i="1"/>
  <c r="Q14" i="1" s="1"/>
  <c r="R14" i="1" s="1"/>
  <c r="T14" i="1" s="1"/>
  <c r="V14" i="1"/>
  <c r="P21" i="1"/>
  <c r="V21" i="1"/>
  <c r="P19" i="1"/>
  <c r="V19" i="1"/>
  <c r="P17" i="1"/>
  <c r="V17" i="1"/>
  <c r="P22" i="1"/>
  <c r="Q22" i="1" s="1"/>
  <c r="R22" i="1" s="1"/>
  <c r="T22" i="1" s="1"/>
  <c r="V22" i="1"/>
  <c r="P9" i="1"/>
  <c r="V9" i="1"/>
  <c r="P11" i="1"/>
  <c r="V11" i="1"/>
  <c r="P15" i="1"/>
  <c r="Q15" i="1" s="1"/>
  <c r="R15" i="1" s="1"/>
  <c r="T15" i="1" s="1"/>
  <c r="V15" i="1"/>
  <c r="P20" i="1"/>
  <c r="V20" i="1"/>
  <c r="P18" i="1"/>
  <c r="Q18" i="1" s="1"/>
  <c r="R18" i="1" s="1"/>
  <c r="T18" i="1" s="1"/>
  <c r="V18" i="1"/>
  <c r="P23" i="1"/>
  <c r="Q23" i="1" s="1"/>
  <c r="R23" i="1" s="1"/>
  <c r="T23" i="1" s="1"/>
  <c r="V23" i="1"/>
  <c r="Q21" i="1"/>
  <c r="R21" i="1" s="1"/>
  <c r="T21" i="1" s="1"/>
  <c r="Q19" i="1"/>
  <c r="R19" i="1" s="1"/>
  <c r="T19" i="1" s="1"/>
  <c r="Q20" i="1"/>
  <c r="R20" i="1" s="1"/>
  <c r="T20" i="1" s="1"/>
  <c r="Q17" i="1"/>
  <c r="R17" i="1" s="1"/>
  <c r="T17" i="1" s="1"/>
  <c r="Q11" i="1"/>
  <c r="R11" i="1" s="1"/>
  <c r="T11" i="1" s="1"/>
  <c r="Q10" i="1"/>
  <c r="R10" i="1" s="1"/>
  <c r="T10" i="1" s="1"/>
  <c r="Q13" i="1"/>
  <c r="R13" i="1" s="1"/>
  <c r="T13" i="1" s="1"/>
  <c r="Q9" i="1"/>
  <c r="R9" i="1" s="1"/>
  <c r="T9" i="1" s="1"/>
  <c r="Q7" i="1"/>
  <c r="R7" i="1" s="1"/>
  <c r="T7" i="1" s="1"/>
  <c r="G6" i="1"/>
  <c r="G8" i="1"/>
  <c r="V8" i="1" s="1"/>
  <c r="G16" i="1"/>
  <c r="V16" i="1" s="1"/>
  <c r="G5" i="1"/>
  <c r="G4" i="1"/>
  <c r="V4" i="1" s="1"/>
  <c r="P6" i="1" l="1"/>
  <c r="Q6" i="1" s="1"/>
  <c r="R6" i="1" s="1"/>
  <c r="T6" i="1" s="1"/>
  <c r="V6" i="1"/>
  <c r="P5" i="1"/>
  <c r="Q5" i="1" s="1"/>
  <c r="R5" i="1" s="1"/>
  <c r="T5" i="1" s="1"/>
  <c r="V5" i="1"/>
  <c r="V24" i="1" s="1"/>
  <c r="G24" i="1"/>
  <c r="I47" i="1"/>
  <c r="I46" i="1"/>
  <c r="I45" i="1"/>
  <c r="I36" i="1"/>
  <c r="I35" i="1"/>
  <c r="L31" i="1"/>
  <c r="L33" i="1" s="1"/>
  <c r="P8" i="1"/>
  <c r="N8" i="1"/>
  <c r="K8" i="1"/>
  <c r="E30" i="1"/>
  <c r="E35" i="1"/>
  <c r="Q8" i="1" l="1"/>
  <c r="R8" i="1" s="1"/>
  <c r="T8" i="1" s="1"/>
  <c r="K16" i="1"/>
  <c r="N16" i="1"/>
  <c r="P16" i="1"/>
  <c r="Q16" i="1" l="1"/>
  <c r="R16" i="1" s="1"/>
  <c r="T16" i="1" s="1"/>
  <c r="P4" i="1" l="1"/>
  <c r="P24" i="1" s="1"/>
  <c r="N4" i="1"/>
  <c r="K4" i="1" l="1"/>
  <c r="Q4" i="1" l="1"/>
  <c r="R4" i="1" s="1"/>
  <c r="R24" i="1" s="1"/>
  <c r="T4" i="1" l="1"/>
  <c r="T24" i="1" s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<sst xmlns="http://schemas.openxmlformats.org/spreadsheetml/2006/main" count="86" uniqueCount="49">
  <si>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</si>
  <si>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</si>
  <si>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</si>
  <si>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</si>
  <si>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</si>
  <si>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</si>
  <si>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</si>
  <si>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</si>
  <si>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</si>
  <si>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</si>
  <si>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</si>
  <si>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</si>
  <si>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</si>
  <si>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Discounting Factor</t>
  </si>
  <si>
    <t>Remarks:</t>
  </si>
  <si>
    <t>Ground Floor</t>
  </si>
  <si>
    <t>Second Floor</t>
  </si>
  <si>
    <t>RV</t>
  </si>
  <si>
    <t>DV</t>
  </si>
  <si>
    <t>TOTAL FMV</t>
  </si>
  <si>
    <t>Admin Office</t>
  </si>
  <si>
    <t>RCC LOAD BEARING STRUCTURE</t>
  </si>
  <si>
    <t>Ware House</t>
  </si>
  <si>
    <t>RCC STRUCTURE WITH GI SHEET ROOF MOUNTED OVER IRON TRUSSES</t>
  </si>
  <si>
    <t>Plant</t>
  </si>
  <si>
    <t>Lab</t>
  </si>
  <si>
    <t>workshop</t>
  </si>
  <si>
    <t>Ecoloife</t>
  </si>
  <si>
    <t>Packing Area</t>
  </si>
  <si>
    <t>Gowdown</t>
  </si>
  <si>
    <t>Godown</t>
  </si>
  <si>
    <t>Rice godown</t>
  </si>
  <si>
    <t>Powder plant</t>
  </si>
  <si>
    <t>Kurkure plant</t>
  </si>
  <si>
    <t>Gardroom</t>
  </si>
  <si>
    <t>Canteen</t>
  </si>
  <si>
    <t>First floor</t>
  </si>
  <si>
    <t>First Floor</t>
  </si>
  <si>
    <t>Gov. Guidline rate</t>
  </si>
  <si>
    <t>Total Gov. Guidline rate</t>
  </si>
  <si>
    <r>
      <t xml:space="preserve">Area 
</t>
    </r>
    <r>
      <rPr>
        <b/>
        <i/>
        <sz val="10"/>
        <rFont val="Arial"/>
        <family val="2"/>
      </rPr>
      <t>(in sq.mtr)</t>
    </r>
  </si>
  <si>
    <r>
      <t xml:space="preserve">Area 
</t>
    </r>
    <r>
      <rPr>
        <b/>
        <i/>
        <sz val="10"/>
        <rFont val="Arial"/>
        <family val="2"/>
      </rPr>
      <t>(in sq.ft)</t>
    </r>
  </si>
  <si>
    <r>
      <t xml:space="preserve">Height </t>
    </r>
    <r>
      <rPr>
        <b/>
        <i/>
        <sz val="10"/>
        <rFont val="Arial"/>
        <family val="2"/>
      </rPr>
      <t>(in ft.)</t>
    </r>
  </si>
  <si>
    <r>
      <t xml:space="preserve">Total Life Consumed 
</t>
    </r>
    <r>
      <rPr>
        <b/>
        <i/>
        <sz val="10"/>
        <rFont val="Arial"/>
        <family val="2"/>
      </rPr>
      <t>(in years)</t>
    </r>
  </si>
  <si>
    <r>
      <t xml:space="preserve">Total Economical Life
</t>
    </r>
    <r>
      <rPr>
        <b/>
        <i/>
        <sz val="10"/>
        <rFont val="Arial"/>
        <family val="2"/>
      </rPr>
      <t>(in years)</t>
    </r>
  </si>
  <si>
    <r>
      <t xml:space="preserve">Plinth Area  Rate 
</t>
    </r>
    <r>
      <rPr>
        <b/>
        <i/>
        <sz val="10"/>
        <rFont val="Arial"/>
        <family val="2"/>
      </rPr>
      <t>(in per sq.ft)</t>
    </r>
  </si>
  <si>
    <r>
      <t>2.</t>
    </r>
    <r>
      <rPr>
        <i/>
        <sz val="10"/>
        <color theme="1"/>
        <rFont val="Arial"/>
        <family val="2"/>
      </rPr>
      <t xml:space="preserve"> The valuation is done by considering the depreciated replacement cost approach.</t>
    </r>
  </si>
  <si>
    <t>BUILDING VALUATION OF M/S. DAWAT FOOD PVT. LTD.</t>
  </si>
  <si>
    <r>
      <t xml:space="preserve">1. </t>
    </r>
    <r>
      <rPr>
        <i/>
        <sz val="10"/>
        <color theme="1"/>
        <rFont val="Arial"/>
        <family val="2"/>
      </rPr>
      <t>All the structure that has been taken in the area statemnet belonging to M/s. Dawat Food Pvt Ltd.Situted at 45 K.M Stone,G.T Road , Kamaspur, Sonipat, Haryana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</si>
</sst>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.00_ ;_ [$₹-4009]\ * \-#,##0.00_ ;_ [$₹-4009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44" fontId="10" fillId="0" borderId="0" xfId="1" applyFont="1"/>
    <xf numFmtId="0" fontId="11" fillId="6" borderId="0" xfId="0" applyFont="1" applyFill="1"/>
    <xf numFmtId="0" fontId="11" fillId="5" borderId="0" xfId="0" applyFont="1" applyFill="1"/>
    <xf numFmtId="166" fontId="10" fillId="0" borderId="0" xfId="0" applyNumberFormat="1" applyFont="1"/>
    <xf numFmtId="44" fontId="10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9" fontId="10" fillId="0" borderId="1" xfId="2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4" fontId="10" fillId="0" borderId="1" xfId="1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8"/>
  <sheetViews>
    <sheetView tabSelected="1" topLeftCell="A20" zoomScale="80" zoomScaleNormal="80" zoomScaleSheetLayoutView="85" workbookViewId="0">
      <selection activeCell="B15" sqref="B15:V27"/>
    </sheetView>
  </sheetViews>
  <sheetFormatPr defaultRowHeight="15" x14ac:dyDescent="0.25"/>
  <cols>
    <col min="2" max="2" width="6.85546875" style="16" customWidth="1"/>
    <col min="3" max="3" width="14.42578125" style="16" bestFit="1" customWidth="1"/>
    <col min="4" max="4" width="22" style="17" customWidth="1"/>
    <col min="5" max="5" width="18.140625" style="18" customWidth="1"/>
    <col min="6" max="6" width="8.42578125" style="17" hidden="1" customWidth="1"/>
    <col min="7" max="7" width="8.42578125" style="16" customWidth="1"/>
    <col min="8" max="8" width="7.7109375" style="16" customWidth="1"/>
    <col min="9" max="9" width="15.140625" style="16" bestFit="1" customWidth="1"/>
    <col min="10" max="10" width="10.7109375" style="16" bestFit="1" customWidth="1"/>
    <col min="11" max="11" width="12.5703125" style="16" customWidth="1"/>
    <col min="12" max="12" width="13.28515625" style="16" customWidth="1"/>
    <col min="13" max="13" width="9.42578125" style="16" hidden="1" customWidth="1"/>
    <col min="14" max="14" width="11.42578125" style="16" hidden="1" customWidth="1"/>
    <col min="15" max="15" width="12" style="16" hidden="1" customWidth="1"/>
    <col min="16" max="16" width="17.140625" style="16" hidden="1" customWidth="1"/>
    <col min="17" max="17" width="14.5703125" style="16" hidden="1" customWidth="1"/>
    <col min="18" max="18" width="17.28515625" style="16" hidden="1" customWidth="1"/>
    <col min="19" max="19" width="11.140625" style="16" hidden="1" customWidth="1"/>
    <col min="20" max="20" width="16.140625" style="19" hidden="1" customWidth="1"/>
    <col min="21" max="21" width="12.140625" style="16" customWidth="1"/>
    <col min="22" max="22" width="19.140625" style="16" customWidth="1"/>
    <col min="23" max="23" width="14.28515625" customWidth="1"/>
  </cols>
  <sheetData>
    <row r="2" spans="2:23" ht="15.75" customHeight="1" x14ac:dyDescent="0.25">
      <c r="B2" s="11" t="s">
        <v>47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3" s="4" customFormat="1" ht="64.5" customHeight="1" x14ac:dyDescent="0.25">
      <c r="B3" s="12" t="s">
        <v>0</v>
      </c>
      <c r="C3" s="12" t="s">
        <v>1</v>
      </c>
      <c r="D3" s="12" t="s">
        <v>11</v>
      </c>
      <c r="E3" s="12" t="s">
        <v>4</v>
      </c>
      <c r="F3" s="12" t="s">
        <v>40</v>
      </c>
      <c r="G3" s="12" t="s">
        <v>41</v>
      </c>
      <c r="H3" s="12" t="s">
        <v>42</v>
      </c>
      <c r="I3" s="12" t="s">
        <v>2</v>
      </c>
      <c r="J3" s="12" t="s">
        <v>3</v>
      </c>
      <c r="K3" s="12" t="s">
        <v>43</v>
      </c>
      <c r="L3" s="12" t="s">
        <v>44</v>
      </c>
      <c r="M3" s="12" t="s">
        <v>5</v>
      </c>
      <c r="N3" s="12" t="s">
        <v>7</v>
      </c>
      <c r="O3" s="12" t="s">
        <v>45</v>
      </c>
      <c r="P3" s="12" t="s">
        <v>12</v>
      </c>
      <c r="Q3" s="12" t="s">
        <v>8</v>
      </c>
      <c r="R3" s="12" t="s">
        <v>9</v>
      </c>
      <c r="S3" s="12" t="s">
        <v>13</v>
      </c>
      <c r="T3" s="12" t="s">
        <v>10</v>
      </c>
      <c r="U3" s="12" t="s">
        <v>38</v>
      </c>
      <c r="V3" s="12" t="s">
        <v>39</v>
      </c>
    </row>
    <row r="4" spans="2:23" ht="42.75" x14ac:dyDescent="0.25">
      <c r="B4" s="25">
        <v>1</v>
      </c>
      <c r="C4" s="13" t="s">
        <v>15</v>
      </c>
      <c r="D4" s="14" t="s">
        <v>20</v>
      </c>
      <c r="E4" s="13" t="s">
        <v>21</v>
      </c>
      <c r="F4" s="13">
        <v>391</v>
      </c>
      <c r="G4" s="26">
        <f>F4*10.7639</f>
        <v>4208.6849000000002</v>
      </c>
      <c r="H4" s="26">
        <v>15</v>
      </c>
      <c r="I4" s="13">
        <v>2005</v>
      </c>
      <c r="J4" s="13">
        <v>2022</v>
      </c>
      <c r="K4" s="13">
        <f t="shared" ref="K4:K23" si="0">J4-I4</f>
        <v>17</v>
      </c>
      <c r="L4" s="13">
        <v>60</v>
      </c>
      <c r="M4" s="27">
        <v>0.1</v>
      </c>
      <c r="N4" s="28">
        <f>(1-M4)/L4</f>
        <v>1.5000000000000001E-2</v>
      </c>
      <c r="O4" s="29">
        <v>1100</v>
      </c>
      <c r="P4" s="29">
        <f t="shared" ref="P4:P23" si="1">O4*G4</f>
        <v>4629553.3900000006</v>
      </c>
      <c r="Q4" s="29">
        <f t="shared" ref="Q4:Q23" si="2">P4*N4*K4</f>
        <v>1180536.1144500002</v>
      </c>
      <c r="R4" s="29">
        <f t="shared" ref="R4:R23" si="3">MAX(P4-Q4,0)</f>
        <v>3449017.2755500004</v>
      </c>
      <c r="S4" s="30">
        <v>0</v>
      </c>
      <c r="T4" s="29">
        <f t="shared" ref="T4:T23" si="4">IF(R4&gt;M4*P4,R4*(1-S4),P4*M4)</f>
        <v>3449017.2755500004</v>
      </c>
      <c r="U4" s="31">
        <v>900</v>
      </c>
      <c r="V4" s="31">
        <f t="shared" ref="V4:V23" si="5">(U4*G4)</f>
        <v>3787816.41</v>
      </c>
      <c r="W4" s="1"/>
    </row>
    <row r="5" spans="2:23" ht="42.75" x14ac:dyDescent="0.25">
      <c r="B5" s="25"/>
      <c r="C5" s="13" t="s">
        <v>37</v>
      </c>
      <c r="D5" s="14"/>
      <c r="E5" s="13" t="s">
        <v>21</v>
      </c>
      <c r="F5" s="13">
        <v>391</v>
      </c>
      <c r="G5" s="26">
        <f>F5*10.7639</f>
        <v>4208.6849000000002</v>
      </c>
      <c r="H5" s="26">
        <v>15</v>
      </c>
      <c r="I5" s="13">
        <v>2005</v>
      </c>
      <c r="J5" s="13">
        <v>2022</v>
      </c>
      <c r="K5" s="13">
        <f t="shared" si="0"/>
        <v>17</v>
      </c>
      <c r="L5" s="13">
        <v>60</v>
      </c>
      <c r="M5" s="27">
        <v>0.1</v>
      </c>
      <c r="N5" s="28">
        <f t="shared" ref="N5:N7" si="6">(1-M5)/L5</f>
        <v>1.5000000000000001E-2</v>
      </c>
      <c r="O5" s="29">
        <v>1100</v>
      </c>
      <c r="P5" s="29">
        <f t="shared" si="1"/>
        <v>4629553.3900000006</v>
      </c>
      <c r="Q5" s="29">
        <f t="shared" si="2"/>
        <v>1180536.1144500002</v>
      </c>
      <c r="R5" s="29">
        <f t="shared" si="3"/>
        <v>3449017.2755500004</v>
      </c>
      <c r="S5" s="30">
        <v>0</v>
      </c>
      <c r="T5" s="29">
        <f t="shared" si="4"/>
        <v>3449017.2755500004</v>
      </c>
      <c r="U5" s="31">
        <v>900</v>
      </c>
      <c r="V5" s="31">
        <f t="shared" si="5"/>
        <v>3787816.41</v>
      </c>
      <c r="W5" s="1"/>
    </row>
    <row r="6" spans="2:23" ht="99.75" x14ac:dyDescent="0.25">
      <c r="B6" s="32">
        <v>2</v>
      </c>
      <c r="C6" s="13" t="s">
        <v>15</v>
      </c>
      <c r="D6" s="13" t="s">
        <v>22</v>
      </c>
      <c r="E6" s="13" t="s">
        <v>23</v>
      </c>
      <c r="F6" s="13">
        <v>1512</v>
      </c>
      <c r="G6" s="26">
        <f t="shared" ref="G6:G23" si="7">F6*10.7639</f>
        <v>16275.016799999999</v>
      </c>
      <c r="H6" s="26">
        <v>30</v>
      </c>
      <c r="I6" s="13">
        <v>2005</v>
      </c>
      <c r="J6" s="13">
        <v>2022</v>
      </c>
      <c r="K6" s="13">
        <f t="shared" si="0"/>
        <v>17</v>
      </c>
      <c r="L6" s="13">
        <v>40</v>
      </c>
      <c r="M6" s="27">
        <v>0.05</v>
      </c>
      <c r="N6" s="28">
        <f t="shared" si="6"/>
        <v>2.375E-2</v>
      </c>
      <c r="O6" s="29">
        <v>800</v>
      </c>
      <c r="P6" s="29">
        <f t="shared" si="1"/>
        <v>13020013.439999999</v>
      </c>
      <c r="Q6" s="29">
        <f t="shared" si="2"/>
        <v>5256830.4263999993</v>
      </c>
      <c r="R6" s="29">
        <f t="shared" si="3"/>
        <v>7763183.0136000002</v>
      </c>
      <c r="S6" s="30">
        <v>0</v>
      </c>
      <c r="T6" s="29">
        <f>IF(R6&gt;M6*P6,R6*(1-S6),P6*M6)</f>
        <v>7763183.0136000002</v>
      </c>
      <c r="U6" s="31">
        <v>700</v>
      </c>
      <c r="V6" s="31">
        <f t="shared" si="5"/>
        <v>11392511.76</v>
      </c>
      <c r="W6" s="1"/>
    </row>
    <row r="7" spans="2:23" ht="99.75" x14ac:dyDescent="0.25">
      <c r="B7" s="32">
        <v>3</v>
      </c>
      <c r="C7" s="13" t="s">
        <v>15</v>
      </c>
      <c r="D7" s="13" t="s">
        <v>24</v>
      </c>
      <c r="E7" s="13" t="s">
        <v>23</v>
      </c>
      <c r="F7" s="13">
        <v>340</v>
      </c>
      <c r="G7" s="26">
        <f t="shared" si="7"/>
        <v>3659.7259999999997</v>
      </c>
      <c r="H7" s="26">
        <v>30</v>
      </c>
      <c r="I7" s="13">
        <v>2005</v>
      </c>
      <c r="J7" s="13">
        <v>2022</v>
      </c>
      <c r="K7" s="13">
        <f t="shared" si="0"/>
        <v>17</v>
      </c>
      <c r="L7" s="13">
        <v>40</v>
      </c>
      <c r="M7" s="27">
        <v>0.05</v>
      </c>
      <c r="N7" s="28">
        <f t="shared" si="6"/>
        <v>2.375E-2</v>
      </c>
      <c r="O7" s="29">
        <v>800</v>
      </c>
      <c r="P7" s="29">
        <f t="shared" si="1"/>
        <v>2927780.8</v>
      </c>
      <c r="Q7" s="29">
        <f t="shared" si="2"/>
        <v>1182091.4979999999</v>
      </c>
      <c r="R7" s="29">
        <f t="shared" si="3"/>
        <v>1745689.3019999999</v>
      </c>
      <c r="S7" s="30">
        <v>0</v>
      </c>
      <c r="T7" s="29">
        <f t="shared" si="4"/>
        <v>1745689.3019999999</v>
      </c>
      <c r="U7" s="31">
        <v>700</v>
      </c>
      <c r="V7" s="31">
        <f t="shared" si="5"/>
        <v>2561808.1999999997</v>
      </c>
      <c r="W7" s="1"/>
    </row>
    <row r="8" spans="2:23" ht="99.75" x14ac:dyDescent="0.25">
      <c r="B8" s="32">
        <v>4</v>
      </c>
      <c r="C8" s="13" t="s">
        <v>15</v>
      </c>
      <c r="D8" s="13" t="s">
        <v>25</v>
      </c>
      <c r="E8" s="13" t="s">
        <v>23</v>
      </c>
      <c r="F8" s="13">
        <v>124.8</v>
      </c>
      <c r="G8" s="26">
        <f t="shared" si="7"/>
        <v>1343.3347199999998</v>
      </c>
      <c r="H8" s="26">
        <v>15</v>
      </c>
      <c r="I8" s="13">
        <v>2005</v>
      </c>
      <c r="J8" s="13">
        <v>2022</v>
      </c>
      <c r="K8" s="13">
        <f t="shared" si="0"/>
        <v>17</v>
      </c>
      <c r="L8" s="13">
        <v>40</v>
      </c>
      <c r="M8" s="27">
        <v>0.05</v>
      </c>
      <c r="N8" s="28">
        <f t="shared" ref="N8:N15" si="8">(1-M8)/L8</f>
        <v>2.375E-2</v>
      </c>
      <c r="O8" s="29">
        <v>700</v>
      </c>
      <c r="P8" s="29">
        <f t="shared" si="1"/>
        <v>940334.30399999989</v>
      </c>
      <c r="Q8" s="29">
        <f t="shared" si="2"/>
        <v>379659.97524</v>
      </c>
      <c r="R8" s="29">
        <f t="shared" ref="R8:R15" si="9">MAX(P8-Q8,0)</f>
        <v>560674.32875999995</v>
      </c>
      <c r="S8" s="30">
        <v>0</v>
      </c>
      <c r="T8" s="29">
        <f t="shared" ref="T8:T15" si="10">IF(R8&gt;M8*P8,R8*(1-S8),P8*M8)</f>
        <v>560674.32875999995</v>
      </c>
      <c r="U8" s="31">
        <v>700</v>
      </c>
      <c r="V8" s="31">
        <f t="shared" si="5"/>
        <v>940334.30399999989</v>
      </c>
      <c r="W8" s="1"/>
    </row>
    <row r="9" spans="2:23" ht="99.75" x14ac:dyDescent="0.25">
      <c r="B9" s="32">
        <v>5</v>
      </c>
      <c r="C9" s="13" t="s">
        <v>15</v>
      </c>
      <c r="D9" s="13" t="s">
        <v>24</v>
      </c>
      <c r="E9" s="13" t="s">
        <v>23</v>
      </c>
      <c r="F9" s="13">
        <v>379.5</v>
      </c>
      <c r="G9" s="26">
        <f t="shared" si="7"/>
        <v>4084.9000499999997</v>
      </c>
      <c r="H9" s="26">
        <v>30</v>
      </c>
      <c r="I9" s="13">
        <v>2005</v>
      </c>
      <c r="J9" s="13">
        <v>2022</v>
      </c>
      <c r="K9" s="13">
        <f t="shared" si="0"/>
        <v>17</v>
      </c>
      <c r="L9" s="13">
        <v>40</v>
      </c>
      <c r="M9" s="27">
        <v>0.05</v>
      </c>
      <c r="N9" s="28">
        <f t="shared" si="8"/>
        <v>2.375E-2</v>
      </c>
      <c r="O9" s="29">
        <v>800</v>
      </c>
      <c r="P9" s="29">
        <f t="shared" si="1"/>
        <v>3267920.0399999996</v>
      </c>
      <c r="Q9" s="29">
        <f t="shared" si="2"/>
        <v>1319422.7161499998</v>
      </c>
      <c r="R9" s="29">
        <f t="shared" si="9"/>
        <v>1948497.3238499998</v>
      </c>
      <c r="S9" s="30">
        <v>0</v>
      </c>
      <c r="T9" s="29">
        <f t="shared" si="10"/>
        <v>1948497.3238499998</v>
      </c>
      <c r="U9" s="31">
        <v>700</v>
      </c>
      <c r="V9" s="31">
        <f t="shared" si="5"/>
        <v>2859430.0349999997</v>
      </c>
      <c r="W9" s="1"/>
    </row>
    <row r="10" spans="2:23" ht="99.75" x14ac:dyDescent="0.25">
      <c r="B10" s="32">
        <v>6</v>
      </c>
      <c r="C10" s="13" t="s">
        <v>15</v>
      </c>
      <c r="D10" s="13" t="s">
        <v>26</v>
      </c>
      <c r="E10" s="13" t="s">
        <v>23</v>
      </c>
      <c r="F10" s="13">
        <v>81</v>
      </c>
      <c r="G10" s="26">
        <f t="shared" si="7"/>
        <v>871.8759</v>
      </c>
      <c r="H10" s="26">
        <v>15</v>
      </c>
      <c r="I10" s="13">
        <v>2005</v>
      </c>
      <c r="J10" s="13">
        <v>2022</v>
      </c>
      <c r="K10" s="13">
        <f t="shared" si="0"/>
        <v>17</v>
      </c>
      <c r="L10" s="13">
        <v>40</v>
      </c>
      <c r="M10" s="27">
        <v>0.05</v>
      </c>
      <c r="N10" s="28">
        <f t="shared" si="8"/>
        <v>2.375E-2</v>
      </c>
      <c r="O10" s="29">
        <v>700</v>
      </c>
      <c r="P10" s="29">
        <f t="shared" si="1"/>
        <v>610313.13</v>
      </c>
      <c r="Q10" s="29">
        <f t="shared" si="2"/>
        <v>246413.92623749998</v>
      </c>
      <c r="R10" s="29">
        <f t="shared" si="9"/>
        <v>363899.20376250002</v>
      </c>
      <c r="S10" s="30">
        <v>0</v>
      </c>
      <c r="T10" s="29">
        <f t="shared" si="10"/>
        <v>363899.20376250002</v>
      </c>
      <c r="U10" s="31">
        <v>700</v>
      </c>
      <c r="V10" s="31">
        <f t="shared" si="5"/>
        <v>610313.13</v>
      </c>
      <c r="W10" s="1"/>
    </row>
    <row r="11" spans="2:23" ht="99.75" x14ac:dyDescent="0.25">
      <c r="B11" s="32">
        <v>7</v>
      </c>
      <c r="C11" s="13" t="s">
        <v>15</v>
      </c>
      <c r="D11" s="13" t="s">
        <v>27</v>
      </c>
      <c r="E11" s="13" t="s">
        <v>23</v>
      </c>
      <c r="F11" s="13">
        <v>760</v>
      </c>
      <c r="G11" s="26">
        <f t="shared" si="7"/>
        <v>8180.5639999999994</v>
      </c>
      <c r="H11" s="26">
        <v>50</v>
      </c>
      <c r="I11" s="13">
        <v>2005</v>
      </c>
      <c r="J11" s="13">
        <v>2022</v>
      </c>
      <c r="K11" s="13">
        <f t="shared" si="0"/>
        <v>17</v>
      </c>
      <c r="L11" s="13">
        <v>40</v>
      </c>
      <c r="M11" s="27">
        <v>0.05</v>
      </c>
      <c r="N11" s="28">
        <f t="shared" si="8"/>
        <v>2.375E-2</v>
      </c>
      <c r="O11" s="29">
        <v>1000</v>
      </c>
      <c r="P11" s="29">
        <f t="shared" si="1"/>
        <v>8180563.9999999991</v>
      </c>
      <c r="Q11" s="29">
        <f t="shared" si="2"/>
        <v>3302902.7149999999</v>
      </c>
      <c r="R11" s="29">
        <f t="shared" si="9"/>
        <v>4877661.2849999992</v>
      </c>
      <c r="S11" s="30">
        <v>0</v>
      </c>
      <c r="T11" s="29">
        <f t="shared" si="10"/>
        <v>4877661.2849999992</v>
      </c>
      <c r="U11" s="31">
        <v>700</v>
      </c>
      <c r="V11" s="31">
        <f t="shared" si="5"/>
        <v>5726394.7999999998</v>
      </c>
      <c r="W11" s="1"/>
    </row>
    <row r="12" spans="2:23" ht="99.75" x14ac:dyDescent="0.25">
      <c r="B12" s="32">
        <v>8</v>
      </c>
      <c r="C12" s="13" t="s">
        <v>15</v>
      </c>
      <c r="D12" s="13" t="s">
        <v>28</v>
      </c>
      <c r="E12" s="13" t="s">
        <v>23</v>
      </c>
      <c r="F12" s="13">
        <v>283.39999999999998</v>
      </c>
      <c r="G12" s="26">
        <f t="shared" si="7"/>
        <v>3050.4892599999998</v>
      </c>
      <c r="H12" s="26">
        <v>15</v>
      </c>
      <c r="I12" s="13">
        <v>2005</v>
      </c>
      <c r="J12" s="13">
        <v>2022</v>
      </c>
      <c r="K12" s="13">
        <f t="shared" si="0"/>
        <v>17</v>
      </c>
      <c r="L12" s="13">
        <v>40</v>
      </c>
      <c r="M12" s="27">
        <v>0.05</v>
      </c>
      <c r="N12" s="28">
        <f t="shared" si="8"/>
        <v>2.375E-2</v>
      </c>
      <c r="O12" s="29">
        <v>700</v>
      </c>
      <c r="P12" s="29">
        <f t="shared" si="1"/>
        <v>2135342.4819999998</v>
      </c>
      <c r="Q12" s="29">
        <f t="shared" si="2"/>
        <v>862144.52710750001</v>
      </c>
      <c r="R12" s="29">
        <f t="shared" si="9"/>
        <v>1273197.9548924998</v>
      </c>
      <c r="S12" s="30">
        <v>0</v>
      </c>
      <c r="T12" s="29">
        <f t="shared" si="10"/>
        <v>1273197.9548924998</v>
      </c>
      <c r="U12" s="31">
        <v>700</v>
      </c>
      <c r="V12" s="31">
        <f t="shared" si="5"/>
        <v>2135342.4819999998</v>
      </c>
      <c r="W12" s="1"/>
    </row>
    <row r="13" spans="2:23" ht="99.75" x14ac:dyDescent="0.25">
      <c r="B13" s="32">
        <v>9</v>
      </c>
      <c r="C13" s="13" t="s">
        <v>15</v>
      </c>
      <c r="D13" s="13" t="s">
        <v>29</v>
      </c>
      <c r="E13" s="13" t="s">
        <v>23</v>
      </c>
      <c r="F13" s="13">
        <v>423</v>
      </c>
      <c r="G13" s="26">
        <f t="shared" si="7"/>
        <v>4553.1296999999995</v>
      </c>
      <c r="H13" s="26">
        <v>50</v>
      </c>
      <c r="I13" s="13">
        <v>2005</v>
      </c>
      <c r="J13" s="13">
        <v>2022</v>
      </c>
      <c r="K13" s="13">
        <f t="shared" si="0"/>
        <v>17</v>
      </c>
      <c r="L13" s="13">
        <v>40</v>
      </c>
      <c r="M13" s="27">
        <v>0.05</v>
      </c>
      <c r="N13" s="28">
        <f t="shared" si="8"/>
        <v>2.375E-2</v>
      </c>
      <c r="O13" s="29">
        <v>1000</v>
      </c>
      <c r="P13" s="29">
        <f t="shared" si="1"/>
        <v>4553129.6999999993</v>
      </c>
      <c r="Q13" s="29">
        <f t="shared" si="2"/>
        <v>1838326.1163749998</v>
      </c>
      <c r="R13" s="29">
        <f t="shared" si="9"/>
        <v>2714803.5836249995</v>
      </c>
      <c r="S13" s="30">
        <v>0</v>
      </c>
      <c r="T13" s="29">
        <f t="shared" si="10"/>
        <v>2714803.5836249995</v>
      </c>
      <c r="U13" s="31">
        <v>700</v>
      </c>
      <c r="V13" s="31">
        <f t="shared" si="5"/>
        <v>3187190.7899999996</v>
      </c>
      <c r="W13" s="1"/>
    </row>
    <row r="14" spans="2:23" ht="99.75" x14ac:dyDescent="0.25">
      <c r="B14" s="32">
        <v>10</v>
      </c>
      <c r="C14" s="13" t="s">
        <v>15</v>
      </c>
      <c r="D14" s="13" t="s">
        <v>28</v>
      </c>
      <c r="E14" s="13" t="s">
        <v>23</v>
      </c>
      <c r="F14" s="13">
        <v>380</v>
      </c>
      <c r="G14" s="26">
        <f t="shared" si="7"/>
        <v>4090.2819999999997</v>
      </c>
      <c r="H14" s="26">
        <v>30</v>
      </c>
      <c r="I14" s="13">
        <v>2005</v>
      </c>
      <c r="J14" s="13">
        <v>2022</v>
      </c>
      <c r="K14" s="13">
        <f t="shared" si="0"/>
        <v>17</v>
      </c>
      <c r="L14" s="13">
        <v>40</v>
      </c>
      <c r="M14" s="27">
        <v>0.05</v>
      </c>
      <c r="N14" s="28">
        <f t="shared" si="8"/>
        <v>2.375E-2</v>
      </c>
      <c r="O14" s="29">
        <v>800</v>
      </c>
      <c r="P14" s="29">
        <f t="shared" si="1"/>
        <v>3272225.5999999996</v>
      </c>
      <c r="Q14" s="29">
        <f t="shared" si="2"/>
        <v>1321161.0859999999</v>
      </c>
      <c r="R14" s="29">
        <f t="shared" si="9"/>
        <v>1951064.5139999997</v>
      </c>
      <c r="S14" s="30">
        <v>0</v>
      </c>
      <c r="T14" s="29">
        <f t="shared" si="10"/>
        <v>1951064.5139999997</v>
      </c>
      <c r="U14" s="31">
        <v>700</v>
      </c>
      <c r="V14" s="31">
        <f t="shared" si="5"/>
        <v>2863197.4</v>
      </c>
      <c r="W14" s="1"/>
    </row>
    <row r="15" spans="2:23" ht="99.75" x14ac:dyDescent="0.25">
      <c r="B15" s="32">
        <v>11</v>
      </c>
      <c r="C15" s="13" t="s">
        <v>15</v>
      </c>
      <c r="D15" s="13" t="s">
        <v>30</v>
      </c>
      <c r="E15" s="13" t="s">
        <v>23</v>
      </c>
      <c r="F15" s="13">
        <v>436.8</v>
      </c>
      <c r="G15" s="26">
        <f t="shared" si="7"/>
        <v>4701.6715199999999</v>
      </c>
      <c r="H15" s="26">
        <v>30</v>
      </c>
      <c r="I15" s="13">
        <v>2005</v>
      </c>
      <c r="J15" s="13">
        <v>2022</v>
      </c>
      <c r="K15" s="13">
        <f t="shared" si="0"/>
        <v>17</v>
      </c>
      <c r="L15" s="13">
        <v>40</v>
      </c>
      <c r="M15" s="27">
        <v>0.05</v>
      </c>
      <c r="N15" s="28">
        <f t="shared" si="8"/>
        <v>2.375E-2</v>
      </c>
      <c r="O15" s="29">
        <v>800</v>
      </c>
      <c r="P15" s="29">
        <f t="shared" si="1"/>
        <v>3761337.216</v>
      </c>
      <c r="Q15" s="29">
        <f t="shared" si="2"/>
        <v>1518639.9009600002</v>
      </c>
      <c r="R15" s="29">
        <f t="shared" si="9"/>
        <v>2242697.3150399998</v>
      </c>
      <c r="S15" s="30">
        <v>0</v>
      </c>
      <c r="T15" s="29">
        <f t="shared" si="10"/>
        <v>2242697.3150399998</v>
      </c>
      <c r="U15" s="31">
        <v>700</v>
      </c>
      <c r="V15" s="31">
        <f t="shared" si="5"/>
        <v>3291170.0639999998</v>
      </c>
      <c r="W15" s="1"/>
    </row>
    <row r="16" spans="2:23" ht="99.75" x14ac:dyDescent="0.25">
      <c r="B16" s="32">
        <v>12</v>
      </c>
      <c r="C16" s="13" t="s">
        <v>15</v>
      </c>
      <c r="D16" s="13" t="s">
        <v>31</v>
      </c>
      <c r="E16" s="13" t="s">
        <v>23</v>
      </c>
      <c r="F16" s="13">
        <v>1312</v>
      </c>
      <c r="G16" s="26">
        <f t="shared" si="7"/>
        <v>14122.236799999999</v>
      </c>
      <c r="H16" s="26">
        <v>30</v>
      </c>
      <c r="I16" s="13">
        <v>2005</v>
      </c>
      <c r="J16" s="13">
        <v>2022</v>
      </c>
      <c r="K16" s="13">
        <f t="shared" si="0"/>
        <v>17</v>
      </c>
      <c r="L16" s="13">
        <v>40</v>
      </c>
      <c r="M16" s="27">
        <v>0.05</v>
      </c>
      <c r="N16" s="28">
        <f t="shared" ref="N16:N23" si="11">(1-M16)/L16</f>
        <v>2.375E-2</v>
      </c>
      <c r="O16" s="29">
        <v>800</v>
      </c>
      <c r="P16" s="29">
        <f t="shared" si="1"/>
        <v>11297789.439999999</v>
      </c>
      <c r="Q16" s="29">
        <f t="shared" si="2"/>
        <v>4561482.4863999989</v>
      </c>
      <c r="R16" s="29">
        <f t="shared" si="3"/>
        <v>6736306.9536000006</v>
      </c>
      <c r="S16" s="30">
        <v>0</v>
      </c>
      <c r="T16" s="29">
        <f t="shared" si="4"/>
        <v>6736306.9536000006</v>
      </c>
      <c r="U16" s="31">
        <v>700</v>
      </c>
      <c r="V16" s="31">
        <f t="shared" si="5"/>
        <v>9885565.7599999998</v>
      </c>
    </row>
    <row r="17" spans="2:22" ht="99.75" x14ac:dyDescent="0.25">
      <c r="B17" s="32">
        <v>13</v>
      </c>
      <c r="C17" s="13" t="s">
        <v>15</v>
      </c>
      <c r="D17" s="13" t="s">
        <v>29</v>
      </c>
      <c r="E17" s="13" t="s">
        <v>23</v>
      </c>
      <c r="F17" s="13">
        <v>1428</v>
      </c>
      <c r="G17" s="26">
        <f t="shared" si="7"/>
        <v>15370.849199999999</v>
      </c>
      <c r="H17" s="26">
        <v>50</v>
      </c>
      <c r="I17" s="13">
        <v>2005</v>
      </c>
      <c r="J17" s="13">
        <v>2022</v>
      </c>
      <c r="K17" s="13">
        <f t="shared" si="0"/>
        <v>17</v>
      </c>
      <c r="L17" s="13">
        <v>40</v>
      </c>
      <c r="M17" s="27">
        <v>0.05</v>
      </c>
      <c r="N17" s="28">
        <f t="shared" si="11"/>
        <v>2.375E-2</v>
      </c>
      <c r="O17" s="29">
        <v>1000</v>
      </c>
      <c r="P17" s="29">
        <f t="shared" si="1"/>
        <v>15370849.199999999</v>
      </c>
      <c r="Q17" s="29">
        <f t="shared" si="2"/>
        <v>6205980.3644999992</v>
      </c>
      <c r="R17" s="29">
        <f t="shared" si="3"/>
        <v>9164868.8355</v>
      </c>
      <c r="S17" s="30">
        <v>0</v>
      </c>
      <c r="T17" s="29">
        <f t="shared" si="4"/>
        <v>9164868.8355</v>
      </c>
      <c r="U17" s="31">
        <v>700</v>
      </c>
      <c r="V17" s="31">
        <f t="shared" si="5"/>
        <v>10759594.439999999</v>
      </c>
    </row>
    <row r="18" spans="2:22" ht="99.75" x14ac:dyDescent="0.25">
      <c r="B18" s="32">
        <v>14</v>
      </c>
      <c r="C18" s="13" t="s">
        <v>15</v>
      </c>
      <c r="D18" s="13" t="s">
        <v>32</v>
      </c>
      <c r="E18" s="13" t="s">
        <v>23</v>
      </c>
      <c r="F18" s="13">
        <v>142.80000000000001</v>
      </c>
      <c r="G18" s="26">
        <f t="shared" si="7"/>
        <v>1537.08492</v>
      </c>
      <c r="H18" s="26">
        <v>50</v>
      </c>
      <c r="I18" s="13">
        <v>2005</v>
      </c>
      <c r="J18" s="13">
        <v>2022</v>
      </c>
      <c r="K18" s="13">
        <f t="shared" si="0"/>
        <v>17</v>
      </c>
      <c r="L18" s="13">
        <v>40</v>
      </c>
      <c r="M18" s="27">
        <v>0.05</v>
      </c>
      <c r="N18" s="28">
        <f t="shared" si="11"/>
        <v>2.375E-2</v>
      </c>
      <c r="O18" s="29">
        <v>1000</v>
      </c>
      <c r="P18" s="29">
        <f t="shared" si="1"/>
        <v>1537084.92</v>
      </c>
      <c r="Q18" s="29">
        <f t="shared" si="2"/>
        <v>620598.03645000001</v>
      </c>
      <c r="R18" s="29">
        <f t="shared" si="3"/>
        <v>916486.88354999991</v>
      </c>
      <c r="S18" s="30">
        <v>0</v>
      </c>
      <c r="T18" s="29">
        <f t="shared" si="4"/>
        <v>916486.88354999991</v>
      </c>
      <c r="U18" s="31">
        <v>700</v>
      </c>
      <c r="V18" s="31">
        <f t="shared" si="5"/>
        <v>1075959.4439999999</v>
      </c>
    </row>
    <row r="19" spans="2:22" ht="99.75" x14ac:dyDescent="0.25">
      <c r="B19" s="32">
        <v>15</v>
      </c>
      <c r="C19" s="13" t="s">
        <v>15</v>
      </c>
      <c r="D19" s="13" t="s">
        <v>33</v>
      </c>
      <c r="E19" s="13" t="s">
        <v>23</v>
      </c>
      <c r="F19" s="13">
        <v>2829</v>
      </c>
      <c r="G19" s="26">
        <f t="shared" si="7"/>
        <v>30451.073099999998</v>
      </c>
      <c r="H19" s="26">
        <v>50</v>
      </c>
      <c r="I19" s="13">
        <v>2005</v>
      </c>
      <c r="J19" s="13">
        <v>2022</v>
      </c>
      <c r="K19" s="13">
        <f t="shared" si="0"/>
        <v>17</v>
      </c>
      <c r="L19" s="13">
        <v>40</v>
      </c>
      <c r="M19" s="27">
        <v>0.05</v>
      </c>
      <c r="N19" s="28">
        <f t="shared" si="11"/>
        <v>2.375E-2</v>
      </c>
      <c r="O19" s="29">
        <v>1000</v>
      </c>
      <c r="P19" s="29">
        <f t="shared" si="1"/>
        <v>30451073.099999998</v>
      </c>
      <c r="Q19" s="29">
        <f t="shared" si="2"/>
        <v>12294620.764124999</v>
      </c>
      <c r="R19" s="29">
        <f t="shared" si="3"/>
        <v>18156452.335874997</v>
      </c>
      <c r="S19" s="30">
        <v>0</v>
      </c>
      <c r="T19" s="29">
        <f t="shared" si="4"/>
        <v>18156452.335874997</v>
      </c>
      <c r="U19" s="31">
        <v>700</v>
      </c>
      <c r="V19" s="31">
        <f t="shared" si="5"/>
        <v>21315751.169999998</v>
      </c>
    </row>
    <row r="20" spans="2:22" ht="99.75" x14ac:dyDescent="0.25">
      <c r="B20" s="32">
        <v>16</v>
      </c>
      <c r="C20" s="13" t="s">
        <v>15</v>
      </c>
      <c r="D20" s="13" t="s">
        <v>34</v>
      </c>
      <c r="E20" s="13" t="s">
        <v>23</v>
      </c>
      <c r="F20" s="13">
        <v>12.25</v>
      </c>
      <c r="G20" s="26">
        <f t="shared" si="7"/>
        <v>131.857775</v>
      </c>
      <c r="H20" s="26">
        <v>12</v>
      </c>
      <c r="I20" s="13">
        <v>2005</v>
      </c>
      <c r="J20" s="13">
        <v>2022</v>
      </c>
      <c r="K20" s="13">
        <f t="shared" si="0"/>
        <v>17</v>
      </c>
      <c r="L20" s="13">
        <v>40</v>
      </c>
      <c r="M20" s="27">
        <v>0.05</v>
      </c>
      <c r="N20" s="28">
        <f t="shared" si="11"/>
        <v>2.375E-2</v>
      </c>
      <c r="O20" s="29">
        <v>700</v>
      </c>
      <c r="P20" s="29">
        <f t="shared" si="1"/>
        <v>92300.442500000005</v>
      </c>
      <c r="Q20" s="29">
        <f t="shared" si="2"/>
        <v>37266.303659375008</v>
      </c>
      <c r="R20" s="29">
        <f t="shared" si="3"/>
        <v>55034.138840624997</v>
      </c>
      <c r="S20" s="30">
        <v>0</v>
      </c>
      <c r="T20" s="29">
        <f t="shared" si="4"/>
        <v>55034.138840624997</v>
      </c>
      <c r="U20" s="31">
        <v>700</v>
      </c>
      <c r="V20" s="31">
        <f t="shared" si="5"/>
        <v>92300.442500000005</v>
      </c>
    </row>
    <row r="21" spans="2:22" ht="99.75" x14ac:dyDescent="0.25">
      <c r="B21" s="25">
        <v>17</v>
      </c>
      <c r="C21" s="13" t="s">
        <v>15</v>
      </c>
      <c r="D21" s="14" t="s">
        <v>35</v>
      </c>
      <c r="E21" s="13" t="s">
        <v>23</v>
      </c>
      <c r="F21" s="13">
        <v>85</v>
      </c>
      <c r="G21" s="26">
        <f t="shared" si="7"/>
        <v>914.93149999999991</v>
      </c>
      <c r="H21" s="26">
        <v>12</v>
      </c>
      <c r="I21" s="13">
        <v>2005</v>
      </c>
      <c r="J21" s="13">
        <v>2022</v>
      </c>
      <c r="K21" s="13">
        <f t="shared" si="0"/>
        <v>17</v>
      </c>
      <c r="L21" s="13">
        <v>40</v>
      </c>
      <c r="M21" s="27">
        <v>0.05</v>
      </c>
      <c r="N21" s="28">
        <f t="shared" si="11"/>
        <v>2.375E-2</v>
      </c>
      <c r="O21" s="29">
        <v>700</v>
      </c>
      <c r="P21" s="29">
        <f t="shared" si="1"/>
        <v>640452.04999999993</v>
      </c>
      <c r="Q21" s="29">
        <f t="shared" si="2"/>
        <v>258582.51518749999</v>
      </c>
      <c r="R21" s="29">
        <f t="shared" si="3"/>
        <v>381869.53481249994</v>
      </c>
      <c r="S21" s="30">
        <v>0</v>
      </c>
      <c r="T21" s="29">
        <f t="shared" si="4"/>
        <v>381869.53481249994</v>
      </c>
      <c r="U21" s="31">
        <v>700</v>
      </c>
      <c r="V21" s="31">
        <f t="shared" si="5"/>
        <v>640452.04999999993</v>
      </c>
    </row>
    <row r="22" spans="2:22" ht="99.75" x14ac:dyDescent="0.25">
      <c r="B22" s="25"/>
      <c r="C22" s="13" t="s">
        <v>36</v>
      </c>
      <c r="D22" s="14"/>
      <c r="E22" s="13" t="s">
        <v>23</v>
      </c>
      <c r="F22" s="13">
        <v>85</v>
      </c>
      <c r="G22" s="26">
        <f t="shared" si="7"/>
        <v>914.93149999999991</v>
      </c>
      <c r="H22" s="26">
        <v>12</v>
      </c>
      <c r="I22" s="13">
        <v>2005</v>
      </c>
      <c r="J22" s="13">
        <v>2022</v>
      </c>
      <c r="K22" s="13">
        <f t="shared" si="0"/>
        <v>17</v>
      </c>
      <c r="L22" s="13">
        <v>40</v>
      </c>
      <c r="M22" s="27">
        <v>0.05</v>
      </c>
      <c r="N22" s="28">
        <f t="shared" si="11"/>
        <v>2.375E-2</v>
      </c>
      <c r="O22" s="29">
        <v>700</v>
      </c>
      <c r="P22" s="29">
        <f t="shared" si="1"/>
        <v>640452.04999999993</v>
      </c>
      <c r="Q22" s="29">
        <f t="shared" si="2"/>
        <v>258582.51518749999</v>
      </c>
      <c r="R22" s="29">
        <f t="shared" si="3"/>
        <v>381869.53481249994</v>
      </c>
      <c r="S22" s="30">
        <v>0</v>
      </c>
      <c r="T22" s="29">
        <f t="shared" si="4"/>
        <v>381869.53481249994</v>
      </c>
      <c r="U22" s="31">
        <v>700</v>
      </c>
      <c r="V22" s="31">
        <f t="shared" si="5"/>
        <v>640452.04999999993</v>
      </c>
    </row>
    <row r="23" spans="2:22" ht="99.75" x14ac:dyDescent="0.25">
      <c r="B23" s="25"/>
      <c r="C23" s="13" t="s">
        <v>16</v>
      </c>
      <c r="D23" s="14"/>
      <c r="E23" s="13" t="s">
        <v>23</v>
      </c>
      <c r="F23" s="13">
        <v>85</v>
      </c>
      <c r="G23" s="26">
        <f t="shared" si="7"/>
        <v>914.93149999999991</v>
      </c>
      <c r="H23" s="26">
        <v>12</v>
      </c>
      <c r="I23" s="13">
        <v>2005</v>
      </c>
      <c r="J23" s="13">
        <v>2022</v>
      </c>
      <c r="K23" s="13">
        <f t="shared" si="0"/>
        <v>17</v>
      </c>
      <c r="L23" s="13">
        <v>40</v>
      </c>
      <c r="M23" s="27">
        <v>0.05</v>
      </c>
      <c r="N23" s="28">
        <f t="shared" si="11"/>
        <v>2.375E-2</v>
      </c>
      <c r="O23" s="29">
        <v>700</v>
      </c>
      <c r="P23" s="29">
        <f t="shared" si="1"/>
        <v>640452.04999999993</v>
      </c>
      <c r="Q23" s="29">
        <f t="shared" si="2"/>
        <v>258582.51518749999</v>
      </c>
      <c r="R23" s="29">
        <f t="shared" si="3"/>
        <v>381869.53481249994</v>
      </c>
      <c r="S23" s="30">
        <v>0</v>
      </c>
      <c r="T23" s="29">
        <f t="shared" si="4"/>
        <v>381869.53481249994</v>
      </c>
      <c r="U23" s="31">
        <v>700</v>
      </c>
      <c r="V23" s="31">
        <f t="shared" si="5"/>
        <v>640452.04999999993</v>
      </c>
    </row>
    <row r="24" spans="2:22" x14ac:dyDescent="0.25">
      <c r="B24" s="33" t="s">
        <v>6</v>
      </c>
      <c r="C24" s="33"/>
      <c r="D24" s="33"/>
      <c r="E24" s="33"/>
      <c r="F24" s="34"/>
      <c r="G24" s="35">
        <f>SUM(G4:G23)</f>
        <v>123586.25604499999</v>
      </c>
      <c r="H24" s="34"/>
      <c r="I24" s="34"/>
      <c r="J24" s="34"/>
      <c r="K24" s="34"/>
      <c r="L24" s="34"/>
      <c r="M24" s="34"/>
      <c r="N24" s="34"/>
      <c r="O24" s="34"/>
      <c r="P24" s="36">
        <f>SUM(P4:P23)</f>
        <v>112598520.74449998</v>
      </c>
      <c r="Q24" s="36"/>
      <c r="R24" s="36">
        <f>SUM(R4:R23)</f>
        <v>68514160.127433121</v>
      </c>
      <c r="S24" s="30">
        <v>0</v>
      </c>
      <c r="T24" s="36">
        <f>SUM(T4:T23)</f>
        <v>68514160.127433121</v>
      </c>
      <c r="U24" s="38"/>
      <c r="V24" s="31">
        <f>SUM(V4:V23)</f>
        <v>88193853.191499978</v>
      </c>
    </row>
    <row r="25" spans="2:22" x14ac:dyDescent="0.25">
      <c r="B25" s="37" t="s">
        <v>14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2:22" ht="15" customHeight="1" x14ac:dyDescent="0.25">
      <c r="B26" s="15" t="s">
        <v>48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2:22" ht="18" customHeight="1" x14ac:dyDescent="0.25">
      <c r="B27" s="15" t="s">
        <v>46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2:22" x14ac:dyDescent="0.25">
      <c r="U28" s="20"/>
    </row>
    <row r="29" spans="2:22" x14ac:dyDescent="0.25">
      <c r="U29" s="20"/>
    </row>
    <row r="30" spans="2:22" x14ac:dyDescent="0.25">
      <c r="E30" s="18">
        <f>SUM(9400+9400+2255+5800)</f>
        <v>26855</v>
      </c>
      <c r="U30" s="20"/>
    </row>
    <row r="31" spans="2:22" x14ac:dyDescent="0.25">
      <c r="L31" s="16">
        <f>1996*9000</f>
        <v>17964000</v>
      </c>
      <c r="U31" s="20"/>
    </row>
    <row r="32" spans="2:22" x14ac:dyDescent="0.25">
      <c r="L32" s="16">
        <v>17960624</v>
      </c>
      <c r="U32" s="20"/>
    </row>
    <row r="33" spans="5:23" x14ac:dyDescent="0.25">
      <c r="K33" s="21" t="s">
        <v>19</v>
      </c>
      <c r="L33" s="22">
        <f>SUM(L31:L32)</f>
        <v>35924624</v>
      </c>
      <c r="U33" s="20"/>
    </row>
    <row r="34" spans="5:23" x14ac:dyDescent="0.25">
      <c r="U34" s="20"/>
    </row>
    <row r="35" spans="5:23" x14ac:dyDescent="0.25">
      <c r="E35" s="18">
        <f>3600-1345</f>
        <v>2255</v>
      </c>
      <c r="H35" s="21" t="s">
        <v>17</v>
      </c>
      <c r="I35" s="22">
        <f>0.85*35900000</f>
        <v>30515000</v>
      </c>
      <c r="U35" s="20"/>
    </row>
    <row r="36" spans="5:23" x14ac:dyDescent="0.25">
      <c r="H36" s="21" t="s">
        <v>18</v>
      </c>
      <c r="I36" s="22">
        <f>0.75*35900000</f>
        <v>26925000</v>
      </c>
      <c r="U36" s="20"/>
    </row>
    <row r="37" spans="5:23" x14ac:dyDescent="0.25">
      <c r="U37" s="20"/>
    </row>
    <row r="39" spans="5:23" x14ac:dyDescent="0.25">
      <c r="U39" s="23"/>
      <c r="V39" s="24"/>
      <c r="W39" s="3"/>
    </row>
    <row r="45" spans="5:23" x14ac:dyDescent="0.25">
      <c r="I45" s="16">
        <f>55000000/4200</f>
        <v>13095.238095238095</v>
      </c>
    </row>
    <row r="46" spans="5:23" x14ac:dyDescent="0.25">
      <c r="I46" s="16">
        <f>1996*5000</f>
        <v>9980000</v>
      </c>
    </row>
    <row r="47" spans="5:23" x14ac:dyDescent="0.25">
      <c r="I47" s="16">
        <f>9980000/35900000</f>
        <v>0.27799442896935933</v>
      </c>
    </row>
    <row r="48" spans="5:23" ht="15" customHeight="1" x14ac:dyDescent="0.25"/>
  </sheetData>
  <mergeCells count="9">
    <mergeCell ref="B2:V2"/>
    <mergeCell ref="B25:V25"/>
    <mergeCell ref="B26:V26"/>
    <mergeCell ref="B27:V27"/>
    <mergeCell ref="B24:E24"/>
    <mergeCell ref="D4:D5"/>
    <mergeCell ref="B4:B5"/>
    <mergeCell ref="D21:D23"/>
    <mergeCell ref="B21:B2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6"/>
      <c r="C5" s="6"/>
      <c r="D5" s="6"/>
      <c r="E5" s="7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8"/>
      <c r="C9" s="9"/>
      <c r="D9" s="10"/>
      <c r="E9" s="5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admin</cp:lastModifiedBy>
  <cp:lastPrinted>2022-01-07T08:12:53Z</cp:lastPrinted>
  <dcterms:created xsi:type="dcterms:W3CDTF">2021-09-16T11:33:35Z</dcterms:created>
  <dcterms:modified xsi:type="dcterms:W3CDTF">2022-04-14T09:22:47Z</dcterms:modified>
</cp:coreProperties>
</file>