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Y:\Abhishek Sharma\1.Print\"/>
    </mc:Choice>
  </mc:AlternateContent>
  <bookViews>
    <workbookView xWindow="0" yWindow="0" windowWidth="24000" windowHeight="9735" activeTab="4"/>
  </bookViews>
  <sheets>
    <sheet name="Belting" sheetId="6" r:id="rId1"/>
    <sheet name="Dashboard" sheetId="3" r:id="rId2"/>
    <sheet name="Valuation LDM" sheetId="5" r:id="rId3"/>
    <sheet name="Belting alternative Value" sheetId="7" r:id="rId4"/>
    <sheet name="Revised" sheetId="8" r:id="rId5"/>
    <sheet name="Sheet2" sheetId="9" r:id="rId6"/>
  </sheet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G15" i="8" l="1"/>
  <c r="H6" i="9" l="1"/>
  <c r="H7" i="9" s="1"/>
  <c r="F7" i="9"/>
  <c r="E7" i="9"/>
  <c r="H24" i="9"/>
  <c r="H25" i="9" s="1"/>
  <c r="G19" i="9"/>
  <c r="G20" i="9" s="1"/>
  <c r="G21" i="9" s="1"/>
  <c r="E8" i="9" s="1"/>
  <c r="F19" i="9"/>
  <c r="F20" i="9" s="1"/>
  <c r="F21" i="9" s="1"/>
  <c r="E19" i="9"/>
  <c r="E20" i="9" s="1"/>
  <c r="E21" i="9" s="1"/>
  <c r="F8" i="9" s="1"/>
  <c r="D19" i="9"/>
  <c r="D20" i="9" s="1"/>
  <c r="D21" i="9" s="1"/>
  <c r="H8" i="9" s="1"/>
  <c r="J15" i="9"/>
  <c r="F6" i="8"/>
  <c r="E6" i="8"/>
  <c r="H7" i="8"/>
  <c r="E21" i="8"/>
  <c r="E22" i="8" s="1"/>
  <c r="F21" i="8"/>
  <c r="F22" i="8" s="1"/>
  <c r="H26" i="8"/>
  <c r="H27" i="8" s="1"/>
  <c r="G21" i="8"/>
  <c r="G22" i="8" s="1"/>
  <c r="D21" i="8"/>
  <c r="D22" i="8" s="1"/>
  <c r="G16" i="7"/>
  <c r="F14" i="6"/>
  <c r="F15" i="6" s="1"/>
  <c r="F17" i="6" s="1"/>
  <c r="F18" i="6" s="1"/>
  <c r="F7" i="6" s="1"/>
  <c r="F8" i="6" s="1"/>
  <c r="F16" i="7"/>
  <c r="F17" i="7" s="1"/>
  <c r="F18" i="7" s="1"/>
  <c r="F19" i="7" s="1"/>
  <c r="F7" i="7" s="1"/>
  <c r="F8" i="7" s="1"/>
  <c r="H9" i="9" l="1"/>
  <c r="E9" i="9"/>
  <c r="J8" i="9"/>
  <c r="F9" i="9"/>
  <c r="E23" i="8"/>
  <c r="F8" i="8" s="1"/>
  <c r="F23" i="8"/>
  <c r="G23" i="8"/>
  <c r="E8" i="8" s="1"/>
  <c r="E9" i="8" s="1"/>
  <c r="D23" i="8"/>
  <c r="H8" i="8" s="1"/>
  <c r="D16" i="7"/>
  <c r="D17" i="7" s="1"/>
  <c r="H22" i="7"/>
  <c r="H23" i="7" s="1"/>
  <c r="G17" i="7"/>
  <c r="G18" i="7" s="1"/>
  <c r="E16" i="7"/>
  <c r="E17" i="7" s="1"/>
  <c r="E18" i="7" s="1"/>
  <c r="J12" i="7"/>
  <c r="H6" i="7"/>
  <c r="N14" i="5"/>
  <c r="J10" i="6"/>
  <c r="E13" i="5"/>
  <c r="I12" i="5"/>
  <c r="H12" i="5"/>
  <c r="G12" i="5"/>
  <c r="F12" i="5"/>
  <c r="E12" i="5"/>
  <c r="J15" i="5"/>
  <c r="K15" i="5"/>
  <c r="G15" i="5" s="1"/>
  <c r="G14" i="6"/>
  <c r="G15" i="6" s="1"/>
  <c r="G17" i="6" s="1"/>
  <c r="G18" i="6" s="1"/>
  <c r="G20" i="3"/>
  <c r="G19" i="3"/>
  <c r="F9" i="3"/>
  <c r="G9" i="3"/>
  <c r="H6" i="5" s="1"/>
  <c r="F7" i="3"/>
  <c r="H17" i="3"/>
  <c r="H15" i="3"/>
  <c r="H21" i="6"/>
  <c r="H22" i="6" s="1"/>
  <c r="E14" i="6"/>
  <c r="E15" i="6" s="1"/>
  <c r="E17" i="6" s="1"/>
  <c r="E18" i="6" s="1"/>
  <c r="D14" i="6"/>
  <c r="D15" i="6" s="1"/>
  <c r="D17" i="6" s="1"/>
  <c r="D18" i="6" s="1"/>
  <c r="H6" i="6"/>
  <c r="F10" i="9" l="1"/>
  <c r="G14" i="9" s="1"/>
  <c r="J9" i="9"/>
  <c r="K9" i="9" s="1"/>
  <c r="F9" i="8"/>
  <c r="H9" i="8"/>
  <c r="J8" i="8"/>
  <c r="D18" i="7"/>
  <c r="D19" i="7" s="1"/>
  <c r="H7" i="7" s="1"/>
  <c r="H8" i="7" s="1"/>
  <c r="E19" i="7"/>
  <c r="G7" i="7" s="1"/>
  <c r="G8" i="7" s="1"/>
  <c r="G19" i="7"/>
  <c r="E7" i="7" s="1"/>
  <c r="E8" i="7" s="1"/>
  <c r="F15" i="5"/>
  <c r="I15" i="5"/>
  <c r="H15" i="5"/>
  <c r="E6" i="5"/>
  <c r="E15" i="5" s="1"/>
  <c r="I6" i="5"/>
  <c r="E7" i="6"/>
  <c r="E8" i="6" s="1"/>
  <c r="G7" i="6"/>
  <c r="G8" i="6" s="1"/>
  <c r="H7" i="6"/>
  <c r="H8" i="6" s="1"/>
  <c r="F15" i="9" l="1"/>
  <c r="I10" i="9"/>
  <c r="J10" i="9" s="1"/>
  <c r="I15" i="9"/>
  <c r="K15" i="9" s="1"/>
  <c r="J9" i="8"/>
  <c r="K9" i="8" s="1"/>
  <c r="F10" i="8"/>
  <c r="G16" i="8" s="1"/>
  <c r="F9" i="6"/>
  <c r="F10" i="6" s="1"/>
  <c r="F9" i="7"/>
  <c r="F12" i="7" s="1"/>
  <c r="J8" i="7"/>
  <c r="K8" i="7" s="1"/>
  <c r="J7" i="7"/>
  <c r="J8" i="6"/>
  <c r="K8" i="6" s="1"/>
  <c r="J7" i="6"/>
  <c r="I10" i="8" l="1"/>
  <c r="J10" i="8" s="1"/>
  <c r="F17" i="8"/>
  <c r="I17" i="8" s="1"/>
  <c r="K17" i="8" s="1"/>
  <c r="I12" i="7"/>
  <c r="K12" i="7" s="1"/>
  <c r="G11" i="7"/>
  <c r="I10" i="6"/>
  <c r="K10" i="6" s="1"/>
  <c r="F6" i="5"/>
  <c r="E9" i="5"/>
  <c r="E16" i="5" s="1"/>
  <c r="G6" i="5"/>
  <c r="L32" i="5" l="1"/>
  <c r="F8" i="5" l="1"/>
  <c r="G8" i="5" s="1"/>
  <c r="H8" i="5" s="1"/>
  <c r="I8" i="5" l="1"/>
  <c r="I9" i="5" s="1"/>
  <c r="I16" i="5" s="1"/>
  <c r="H9" i="5"/>
  <c r="H16" i="5" s="1"/>
  <c r="G9" i="5"/>
  <c r="F9" i="5"/>
  <c r="F16" i="5" s="1"/>
  <c r="G16" i="5" l="1"/>
  <c r="H18" i="5"/>
  <c r="I18" i="5"/>
  <c r="E7" i="5" l="1"/>
  <c r="H7" i="3"/>
  <c r="H9" i="3" l="1"/>
  <c r="J9" i="3" s="1"/>
  <c r="H8" i="3"/>
  <c r="J8" i="3" s="1"/>
  <c r="J10" i="3" s="1"/>
  <c r="G18" i="5" l="1"/>
  <c r="E18" i="5"/>
  <c r="F18" i="5"/>
  <c r="F3" i="5" l="1"/>
  <c r="G3" i="5" l="1"/>
  <c r="H3" i="5" s="1"/>
  <c r="I3" i="5" s="1"/>
  <c r="E20" i="5" l="1"/>
  <c r="I23" i="5" s="1"/>
  <c r="E21" i="5" l="1"/>
</calcChain>
</file>

<file path=xl/sharedStrings.xml><?xml version="1.0" encoding="utf-8"?>
<sst xmlns="http://schemas.openxmlformats.org/spreadsheetml/2006/main" count="146" uniqueCount="78">
  <si>
    <t xml:space="preserve">LAND VALUE CALCULATION THROUGH LAND DEVELOPMENT METHOD CONSIDERING ITS HIGHEST &amp; BEST USE </t>
  </si>
  <si>
    <t>Expected Revenue Generation</t>
  </si>
  <si>
    <t xml:space="preserve">Sr. no. </t>
  </si>
  <si>
    <t xml:space="preserve">Description </t>
  </si>
  <si>
    <t>Acres</t>
  </si>
  <si>
    <t>i</t>
  </si>
  <si>
    <t>Total Area of land in acres</t>
  </si>
  <si>
    <t>ii</t>
  </si>
  <si>
    <t>iii</t>
  </si>
  <si>
    <t>Expenses</t>
  </si>
  <si>
    <t>Noc's &amp; Approval</t>
  </si>
  <si>
    <t>Net revenue</t>
  </si>
  <si>
    <t>Present Value</t>
  </si>
  <si>
    <t>Particulars</t>
  </si>
  <si>
    <t>Expected % wise sale of the property</t>
  </si>
  <si>
    <t>Revenue</t>
  </si>
  <si>
    <t>Unit</t>
  </si>
  <si>
    <t>%</t>
  </si>
  <si>
    <t>Net Saleable Area</t>
  </si>
  <si>
    <t>Rate of Inflation</t>
  </si>
  <si>
    <r>
      <t xml:space="preserve">Pre Operative &amp; Admin </t>
    </r>
    <r>
      <rPr>
        <sz val="10"/>
        <color theme="1"/>
        <rFont val="Calibri"/>
        <family val="2"/>
        <scheme val="minor"/>
      </rPr>
      <t>[5%*Revenue]</t>
    </r>
  </si>
  <si>
    <t>INR</t>
  </si>
  <si>
    <t>Important Notes:</t>
  </si>
  <si>
    <t>VALUATION OF LAND (THROUGH LAND DEVELOPMENT METHOD)</t>
  </si>
  <si>
    <r>
      <t>Internal &amp; External development</t>
    </r>
    <r>
      <rPr>
        <i/>
        <sz val="10"/>
        <color theme="1"/>
        <rFont val="Calibri"/>
        <family val="2"/>
        <scheme val="minor"/>
      </rPr>
      <t xml:space="preserve"> </t>
    </r>
    <r>
      <rPr>
        <sz val="10"/>
        <color theme="1"/>
        <rFont val="Calibri"/>
        <family val="2"/>
        <scheme val="minor"/>
      </rPr>
      <t xml:space="preserve">[10%*Revenue] </t>
    </r>
  </si>
  <si>
    <t>In Sq.mtr.</t>
  </si>
  <si>
    <t>Average Seleable Rate (in per sq.mtr.)</t>
  </si>
  <si>
    <t>4. Complete Project land is assumed to be transacted with in 3 years period.</t>
  </si>
  <si>
    <t>Assumptions:</t>
  </si>
  <si>
    <t>sq.mtr.</t>
  </si>
  <si>
    <t>INR/sq.mtr.</t>
  </si>
  <si>
    <t>3. A lumpsump amount of expenses has been considered in the above projections. These expenses amount are based on the available historical data.</t>
  </si>
  <si>
    <t>5. For the calculation of discount rate, we have assumed 50% of capex as debt and 50% of capex as equity @12.5% &amp; 22% interest rate. 22% of equity interest rate is adopted considering the risk factor involved in real estate projects in present scenario. By this, WACC arrived is 17.25%.</t>
  </si>
  <si>
    <t>2. The area surrounded by the subject property is residential with only small residential plots available for sale and there is no such large land parcel available in the subject vicinity. Therefore, considering the best possible use of the land, we have considered the Land Development Method for the development of residential plotted colony.</t>
  </si>
  <si>
    <t>Total Area</t>
  </si>
  <si>
    <t>Area (sq. mtr.)</t>
  </si>
  <si>
    <t>Rate (per sq. mtr.)</t>
  </si>
  <si>
    <t>1. 65% of the total land area has been considered as net sellable area. Remaining land area is assumed to be used in providing common infrastructure and green belt.</t>
  </si>
  <si>
    <t>We assume that around 65% of the total land area can be used as selable area and rest of the land parcel will be used for internal development like Road, park, drain &amp; other facility.</t>
  </si>
  <si>
    <t>Net Seleable Area in sq.yds (i.e. 65% of total land area)</t>
  </si>
  <si>
    <t>Total Value</t>
  </si>
  <si>
    <t>Value</t>
  </si>
  <si>
    <t>Average Rate (per sq. mtr.)</t>
  </si>
  <si>
    <t>Area (front side)</t>
  </si>
  <si>
    <t>Area (middle part)</t>
  </si>
  <si>
    <t>Area (back side)</t>
  </si>
  <si>
    <t>Calculation by Belting Method</t>
  </si>
  <si>
    <t>1. As per the scenario of its highest &amp; best use, if this asset has to be monetized or has to be sold in open market then this asset will be used to achieve the best multiple/ mixed utilization for the development of plotted residential colony.</t>
  </si>
  <si>
    <t>6. We have considered the land rate taking into consideration the necessity infrastructure like roads, sewerline etc. Therefore, we have not provided separate valuation for the same.</t>
  </si>
  <si>
    <t>(including Boundary Wall, Drainage, etc.)</t>
  </si>
  <si>
    <t>Net Present Value</t>
  </si>
  <si>
    <t>Rate (per Acres)</t>
  </si>
  <si>
    <t>Rate (per Bigha)</t>
  </si>
  <si>
    <t>Rate (per sq.mtr.)</t>
  </si>
  <si>
    <t>Round off</t>
  </si>
  <si>
    <t>FY22</t>
  </si>
  <si>
    <t>FY23</t>
  </si>
  <si>
    <t>FY24</t>
  </si>
  <si>
    <t>FY25</t>
  </si>
  <si>
    <t>FY26</t>
  </si>
  <si>
    <t>Market Rate of Industrial Plots</t>
  </si>
  <si>
    <t>Area (behind front side)</t>
  </si>
  <si>
    <t>Rate (per sq.mtr.) (after deduction for size)</t>
  </si>
  <si>
    <t>Discount for Size</t>
  </si>
  <si>
    <r>
      <t xml:space="preserve">Brokerage and marketing charges </t>
    </r>
    <r>
      <rPr>
        <sz val="10"/>
        <color theme="1"/>
        <rFont val="Calibri"/>
        <family val="2"/>
        <scheme val="minor"/>
      </rPr>
      <t>[2%*Revenue]</t>
    </r>
  </si>
  <si>
    <t>Area (Middle part)</t>
  </si>
  <si>
    <t>Area (Back side)</t>
  </si>
  <si>
    <t>Area (Behind front side)</t>
  </si>
  <si>
    <t>Area (Front side)</t>
  </si>
  <si>
    <t>Final Value</t>
  </si>
  <si>
    <t>Area (Middle)</t>
  </si>
  <si>
    <t xml:space="preserve">Rate (per sq.mtr.) </t>
  </si>
  <si>
    <t>Area (acres)</t>
  </si>
  <si>
    <t>Total Discount</t>
  </si>
  <si>
    <t xml:space="preserve">Depreciation/Appreciation for Locality </t>
  </si>
  <si>
    <r>
      <t xml:space="preserve">Depreciation/Appreciation for Location  </t>
    </r>
    <r>
      <rPr>
        <b/>
        <i/>
        <sz val="12"/>
        <color theme="1"/>
        <rFont val="Calibri"/>
        <family val="2"/>
        <scheme val="minor"/>
      </rPr>
      <t>(Connectivity,availabilty of amenities etc.)</t>
    </r>
    <r>
      <rPr>
        <b/>
        <sz val="12"/>
        <color theme="1"/>
        <rFont val="Calibri"/>
        <family val="2"/>
        <scheme val="minor"/>
      </rPr>
      <t xml:space="preserve"> </t>
    </r>
  </si>
  <si>
    <t>Depreciation/Appreciation for Current demand</t>
  </si>
  <si>
    <r>
      <t xml:space="preserve">Depreciation/Appreciation for Physical Character of Plot </t>
    </r>
    <r>
      <rPr>
        <b/>
        <i/>
        <sz val="12"/>
        <color theme="1"/>
        <rFont val="Calibri"/>
        <family val="2"/>
        <scheme val="minor"/>
      </rPr>
      <t>(Frontage, shape, Size etc.)</t>
    </r>
  </si>
</sst>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4" formatCode="_ &quot;₹&quot;\ * #,##0.00_ ;_ &quot;₹&quot;\ * \-#,##0.00_ ;_ &quot;₹&quot;\ * &quot;-&quot;??_ ;_ @_ "/>
    <numFmt numFmtId="43" formatCode="_ * #,##0.00_ ;_ * \-#,##0.00_ ;_ * &quot;-&quot;??_ ;_ @_ "/>
    <numFmt numFmtId="164" formatCode="_(* #,##0.00_);_(* \(#,##0.00\);_(* &quot;-&quot;??_);_(@_)"/>
    <numFmt numFmtId="165" formatCode="_ &quot;₹&quot;\ * #,##0_ ;_ &quot;₹&quot;\ * \-#,##0_ ;_ &quot;₹&quot;\ * &quot;-&quot;??_ ;_ @_ "/>
    <numFmt numFmtId="166" formatCode="&quot;₹&quot;\ #,##0.00"/>
    <numFmt numFmtId="167" formatCode="_ * #,##0_ ;_ * \-#,##0_ ;_ * &quot;-&quot;??_ ;_ @_ "/>
    <numFmt numFmtId="168" formatCode="_ [$₹-4009]\ * #,##0.00_ ;_ [$₹-4009]\ * \-#,##0.00_ ;_ [$₹-4009]\ * &quot;-&quot;??_ ;_ @_ "/>
  </numFmts>
  <fonts count="12" x14ac:knownFonts="1">
    <font>
      <sz val="11"/>
      <color theme="1"/>
      <name val="Calibri"/>
      <family val="2"/>
      <scheme val="minor"/>
    </font>
    <font>
      <b/>
      <sz val="11"/>
      <color theme="1"/>
      <name val="Calibri"/>
      <family val="2"/>
      <scheme val="minor"/>
    </font>
    <font>
      <sz val="11"/>
      <color theme="1"/>
      <name val="Calibri"/>
      <family val="2"/>
      <scheme val="minor"/>
    </font>
    <font>
      <i/>
      <sz val="10"/>
      <color theme="1"/>
      <name val="Calibri"/>
      <family val="2"/>
      <scheme val="minor"/>
    </font>
    <font>
      <b/>
      <i/>
      <sz val="10"/>
      <color theme="1"/>
      <name val="Calibri"/>
      <family val="2"/>
      <scheme val="minor"/>
    </font>
    <font>
      <sz val="10"/>
      <color theme="1"/>
      <name val="Calibri"/>
      <family val="2"/>
      <scheme val="minor"/>
    </font>
    <font>
      <b/>
      <sz val="12"/>
      <color theme="0"/>
      <name val="Calibri"/>
      <family val="2"/>
      <scheme val="minor"/>
    </font>
    <font>
      <b/>
      <sz val="14"/>
      <color theme="0"/>
      <name val="Calibri"/>
      <family val="2"/>
      <scheme val="minor"/>
    </font>
    <font>
      <b/>
      <sz val="12"/>
      <color theme="1"/>
      <name val="Calibri"/>
      <family val="2"/>
      <scheme val="minor"/>
    </font>
    <font>
      <sz val="9"/>
      <color theme="1"/>
      <name val="Verdana"/>
      <family val="2"/>
    </font>
    <font>
      <sz val="8"/>
      <name val="Calibri"/>
      <family val="2"/>
      <scheme val="minor"/>
    </font>
    <font>
      <b/>
      <i/>
      <sz val="12"/>
      <color theme="1"/>
      <name val="Calibri"/>
      <family val="2"/>
      <scheme val="minor"/>
    </font>
  </fonts>
  <fills count="6">
    <fill>
      <patternFill patternType="none"/>
    </fill>
    <fill>
      <patternFill patternType="gray125"/>
    </fill>
    <fill>
      <patternFill patternType="solid">
        <fgColor theme="4" tint="0.59999389629810485"/>
        <bgColor indexed="64"/>
      </patternFill>
    </fill>
    <fill>
      <patternFill patternType="solid">
        <fgColor theme="0"/>
        <bgColor indexed="64"/>
      </patternFill>
    </fill>
    <fill>
      <patternFill patternType="solid">
        <fgColor theme="8" tint="-0.499984740745262"/>
        <bgColor indexed="64"/>
      </patternFill>
    </fill>
    <fill>
      <patternFill patternType="solid">
        <fgColor theme="4" tint="0.79998168889431442"/>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thin">
        <color indexed="64"/>
      </bottom>
      <diagonal/>
    </border>
    <border>
      <left/>
      <right/>
      <top/>
      <bottom style="thin">
        <color indexed="64"/>
      </bottom>
      <diagonal/>
    </border>
  </borders>
  <cellStyleXfs count="4">
    <xf numFmtId="0" fontId="0" fillId="0" borderId="0"/>
    <xf numFmtId="9" fontId="2" fillId="0" borderId="0" applyFont="0" applyFill="0" applyBorder="0" applyAlignment="0" applyProtection="0"/>
    <xf numFmtId="0" fontId="9" fillId="0" borderId="0"/>
    <xf numFmtId="43" fontId="2" fillId="0" borderId="0" applyFont="0" applyFill="0" applyBorder="0" applyAlignment="0" applyProtection="0"/>
  </cellStyleXfs>
  <cellXfs count="119">
    <xf numFmtId="0" fontId="0" fillId="0" borderId="0" xfId="0"/>
    <xf numFmtId="0" fontId="1" fillId="0" borderId="0" xfId="0" applyFont="1"/>
    <xf numFmtId="0" fontId="1" fillId="0" borderId="1" xfId="0" applyFont="1" applyBorder="1" applyAlignment="1">
      <alignment horizontal="center" vertical="center"/>
    </xf>
    <xf numFmtId="0" fontId="0" fillId="0" borderId="1" xfId="0" applyBorder="1"/>
    <xf numFmtId="0" fontId="0" fillId="0" borderId="1" xfId="0" applyBorder="1" applyAlignment="1">
      <alignment wrapText="1"/>
    </xf>
    <xf numFmtId="0" fontId="0" fillId="0" borderId="1" xfId="0" applyBorder="1" applyAlignment="1">
      <alignment horizontal="left"/>
    </xf>
    <xf numFmtId="1" fontId="0" fillId="0" borderId="1" xfId="0" applyNumberFormat="1" applyBorder="1" applyAlignment="1">
      <alignment horizontal="center"/>
    </xf>
    <xf numFmtId="0" fontId="0" fillId="0" borderId="0" xfId="0" applyAlignment="1">
      <alignment horizontal="center" vertical="center"/>
    </xf>
    <xf numFmtId="0" fontId="0" fillId="0" borderId="1" xfId="0" applyBorder="1" applyAlignment="1">
      <alignment horizontal="center" vertical="center"/>
    </xf>
    <xf numFmtId="14" fontId="1" fillId="2" borderId="1" xfId="0" applyNumberFormat="1" applyFont="1" applyFill="1" applyBorder="1" applyAlignment="1">
      <alignment horizontal="center" vertical="center"/>
    </xf>
    <xf numFmtId="0" fontId="1" fillId="0" borderId="1" xfId="0" applyFont="1" applyBorder="1" applyAlignment="1">
      <alignment horizontal="center" vertical="center"/>
    </xf>
    <xf numFmtId="2" fontId="0" fillId="0" borderId="1" xfId="0" applyNumberFormat="1" applyBorder="1" applyAlignment="1">
      <alignment horizontal="center"/>
    </xf>
    <xf numFmtId="2" fontId="0" fillId="0" borderId="1" xfId="0" applyNumberFormat="1" applyBorder="1" applyAlignment="1">
      <alignment horizontal="center" vertical="center"/>
    </xf>
    <xf numFmtId="0" fontId="1" fillId="5" borderId="1" xfId="0" applyFont="1" applyFill="1" applyBorder="1"/>
    <xf numFmtId="0" fontId="1" fillId="5" borderId="1" xfId="0" applyFont="1" applyFill="1" applyBorder="1" applyAlignment="1">
      <alignment horizontal="center"/>
    </xf>
    <xf numFmtId="0" fontId="1" fillId="5" borderId="1" xfId="0" applyFont="1" applyFill="1" applyBorder="1" applyAlignment="1">
      <alignment horizontal="center" wrapText="1"/>
    </xf>
    <xf numFmtId="165" fontId="1" fillId="0" borderId="1" xfId="0" applyNumberFormat="1" applyFont="1" applyBorder="1" applyAlignment="1">
      <alignment wrapText="1"/>
    </xf>
    <xf numFmtId="166" fontId="0" fillId="0" borderId="0" xfId="0" applyNumberFormat="1"/>
    <xf numFmtId="165" fontId="1" fillId="0" borderId="1" xfId="0" applyNumberFormat="1" applyFont="1" applyBorder="1" applyAlignment="1">
      <alignment horizontal="center" vertical="center"/>
    </xf>
    <xf numFmtId="165" fontId="0" fillId="0" borderId="1" xfId="0" applyNumberFormat="1" applyBorder="1" applyAlignment="1">
      <alignment horizontal="center" vertical="center"/>
    </xf>
    <xf numFmtId="165" fontId="0" fillId="0" borderId="0" xfId="0" applyNumberFormat="1" applyAlignment="1">
      <alignment horizontal="center" vertical="center"/>
    </xf>
    <xf numFmtId="44" fontId="0" fillId="0" borderId="0" xfId="0" applyNumberFormat="1" applyAlignment="1">
      <alignment horizontal="center" vertical="center"/>
    </xf>
    <xf numFmtId="0" fontId="0" fillId="0" borderId="0" xfId="0" applyAlignment="1">
      <alignment vertical="center"/>
    </xf>
    <xf numFmtId="0" fontId="0" fillId="0" borderId="9" xfId="0" applyBorder="1" applyAlignment="1">
      <alignment vertical="center"/>
    </xf>
    <xf numFmtId="10" fontId="0" fillId="0" borderId="1" xfId="0" applyNumberFormat="1" applyBorder="1" applyAlignment="1">
      <alignment horizontal="center" vertical="center"/>
    </xf>
    <xf numFmtId="1" fontId="0" fillId="0" borderId="1" xfId="0" applyNumberFormat="1" applyBorder="1" applyAlignment="1">
      <alignment horizontal="center" vertical="center"/>
    </xf>
    <xf numFmtId="0" fontId="0" fillId="0" borderId="1" xfId="0" applyBorder="1" applyAlignment="1">
      <alignment vertical="center"/>
    </xf>
    <xf numFmtId="9" fontId="0" fillId="0" borderId="1" xfId="1" applyFont="1" applyBorder="1" applyAlignment="1">
      <alignment horizontal="center" vertical="center"/>
    </xf>
    <xf numFmtId="0" fontId="1" fillId="0" borderId="1" xfId="0" applyFont="1" applyBorder="1" applyAlignment="1">
      <alignment vertical="center"/>
    </xf>
    <xf numFmtId="165" fontId="1" fillId="0" borderId="1" xfId="0" applyNumberFormat="1" applyFont="1" applyBorder="1" applyAlignment="1">
      <alignment vertical="center"/>
    </xf>
    <xf numFmtId="164" fontId="0" fillId="0" borderId="0" xfId="0" applyNumberFormat="1" applyAlignment="1">
      <alignment vertical="center"/>
    </xf>
    <xf numFmtId="44" fontId="0" fillId="0" borderId="0" xfId="0" applyNumberFormat="1" applyAlignment="1">
      <alignment vertical="center"/>
    </xf>
    <xf numFmtId="43" fontId="0" fillId="0" borderId="0" xfId="0" applyNumberFormat="1" applyAlignment="1">
      <alignment vertical="center"/>
    </xf>
    <xf numFmtId="9" fontId="0" fillId="0" borderId="0" xfId="0" applyNumberFormat="1" applyAlignment="1">
      <alignment vertical="center"/>
    </xf>
    <xf numFmtId="10" fontId="0" fillId="0" borderId="0" xfId="0" applyNumberFormat="1" applyAlignment="1">
      <alignment vertical="center"/>
    </xf>
    <xf numFmtId="10" fontId="0" fillId="0" borderId="0" xfId="1" applyNumberFormat="1" applyFont="1" applyAlignment="1">
      <alignment vertical="center"/>
    </xf>
    <xf numFmtId="0" fontId="0" fillId="0" borderId="1" xfId="0" applyBorder="1" applyAlignment="1">
      <alignment horizontal="center" vertical="center"/>
    </xf>
    <xf numFmtId="0" fontId="8" fillId="0" borderId="1" xfId="0" applyFont="1" applyBorder="1" applyAlignment="1">
      <alignment horizontal="left" vertical="center"/>
    </xf>
    <xf numFmtId="0" fontId="8" fillId="5" borderId="1" xfId="0" applyFont="1" applyFill="1" applyBorder="1" applyAlignment="1">
      <alignment horizontal="center" vertical="center"/>
    </xf>
    <xf numFmtId="165" fontId="1" fillId="0" borderId="1" xfId="0" applyNumberFormat="1" applyFont="1" applyBorder="1" applyAlignment="1">
      <alignment horizontal="center" vertical="center"/>
    </xf>
    <xf numFmtId="165" fontId="0" fillId="0" borderId="1" xfId="0" applyNumberFormat="1" applyBorder="1" applyAlignment="1">
      <alignment horizontal="center" vertical="center"/>
    </xf>
    <xf numFmtId="9" fontId="6" fillId="4" borderId="1" xfId="1" applyFont="1" applyFill="1" applyBorder="1" applyAlignment="1">
      <alignment horizontal="center" vertical="center"/>
    </xf>
    <xf numFmtId="167" fontId="1" fillId="0" borderId="1" xfId="3" applyNumberFormat="1" applyFont="1" applyBorder="1" applyAlignment="1">
      <alignment horizontal="center" vertical="center"/>
    </xf>
    <xf numFmtId="167" fontId="0" fillId="0" borderId="1" xfId="3" applyNumberFormat="1" applyFont="1" applyBorder="1" applyAlignment="1">
      <alignment horizontal="center" vertical="center"/>
    </xf>
    <xf numFmtId="168" fontId="0" fillId="0" borderId="0" xfId="0" applyNumberFormat="1" applyAlignment="1">
      <alignment horizontal="center" wrapText="1"/>
    </xf>
    <xf numFmtId="168" fontId="0" fillId="0" borderId="0" xfId="0" applyNumberFormat="1" applyAlignment="1">
      <alignment horizontal="center" vertical="center"/>
    </xf>
    <xf numFmtId="165" fontId="0" fillId="0" borderId="1" xfId="0" applyNumberFormat="1" applyBorder="1" applyAlignment="1">
      <alignment horizontal="center" vertical="center"/>
    </xf>
    <xf numFmtId="165" fontId="1" fillId="0" borderId="1" xfId="0" applyNumberFormat="1" applyFont="1" applyBorder="1" applyAlignment="1">
      <alignment horizontal="center" vertical="center"/>
    </xf>
    <xf numFmtId="0" fontId="0" fillId="0" borderId="1" xfId="0" applyBorder="1" applyAlignment="1">
      <alignment horizontal="center" vertical="center"/>
    </xf>
    <xf numFmtId="168" fontId="0" fillId="0" borderId="1" xfId="3" applyNumberFormat="1" applyFont="1" applyBorder="1" applyAlignment="1">
      <alignment horizontal="center" vertical="center"/>
    </xf>
    <xf numFmtId="165" fontId="0" fillId="0" borderId="1" xfId="0" applyNumberFormat="1" applyBorder="1" applyAlignment="1">
      <alignment horizontal="center" vertical="center"/>
    </xf>
    <xf numFmtId="0" fontId="0" fillId="0" borderId="1" xfId="0" applyBorder="1" applyAlignment="1">
      <alignment horizontal="center" vertical="center"/>
    </xf>
    <xf numFmtId="9" fontId="0" fillId="0" borderId="0" xfId="1" applyFont="1"/>
    <xf numFmtId="9" fontId="0" fillId="0" borderId="0" xfId="1" applyFont="1" applyAlignment="1">
      <alignment vertical="center"/>
    </xf>
    <xf numFmtId="44" fontId="0" fillId="0" borderId="0" xfId="0" applyNumberFormat="1"/>
    <xf numFmtId="43" fontId="0" fillId="0" borderId="0" xfId="3" applyFont="1"/>
    <xf numFmtId="167" fontId="0" fillId="0" borderId="1" xfId="0" applyNumberFormat="1" applyBorder="1" applyAlignment="1">
      <alignment horizontal="center" vertical="center"/>
    </xf>
    <xf numFmtId="0" fontId="0" fillId="0" borderId="1" xfId="0" applyBorder="1" applyAlignment="1">
      <alignment horizontal="center" vertical="center" wrapText="1"/>
    </xf>
    <xf numFmtId="168" fontId="0" fillId="0" borderId="1" xfId="3" applyNumberFormat="1" applyFont="1" applyBorder="1" applyAlignment="1">
      <alignment horizontal="right" vertical="center"/>
    </xf>
    <xf numFmtId="9" fontId="0" fillId="0" borderId="1" xfId="1" applyFont="1" applyBorder="1" applyAlignment="1">
      <alignment horizontal="right" vertical="center"/>
    </xf>
    <xf numFmtId="168" fontId="0" fillId="0" borderId="1" xfId="0" applyNumberFormat="1" applyBorder="1" applyAlignment="1">
      <alignment horizontal="center" vertical="center"/>
    </xf>
    <xf numFmtId="168" fontId="0" fillId="0" borderId="1" xfId="0" applyNumberFormat="1" applyBorder="1" applyAlignment="1">
      <alignment horizontal="right" vertical="center"/>
    </xf>
    <xf numFmtId="165" fontId="0" fillId="0" borderId="1" xfId="0" applyNumberFormat="1" applyBorder="1" applyAlignment="1">
      <alignment horizontal="center" vertical="center"/>
    </xf>
    <xf numFmtId="0" fontId="0" fillId="0" borderId="1" xfId="0" applyBorder="1" applyAlignment="1">
      <alignment horizontal="center" vertical="center"/>
    </xf>
    <xf numFmtId="9" fontId="0" fillId="0" borderId="0" xfId="0" applyNumberFormat="1" applyFont="1" applyAlignment="1">
      <alignment vertical="center"/>
    </xf>
    <xf numFmtId="43" fontId="0" fillId="0" borderId="0" xfId="3" applyFont="1" applyAlignment="1">
      <alignment horizontal="center" vertical="center"/>
    </xf>
    <xf numFmtId="165" fontId="0" fillId="0" borderId="1" xfId="0" applyNumberFormat="1" applyBorder="1" applyAlignment="1">
      <alignment horizontal="center" vertical="center"/>
    </xf>
    <xf numFmtId="0" fontId="0" fillId="0" borderId="1" xfId="0" applyBorder="1" applyAlignment="1">
      <alignment horizontal="center" vertical="center"/>
    </xf>
    <xf numFmtId="165" fontId="0" fillId="0" borderId="2" xfId="0" applyNumberFormat="1" applyBorder="1" applyAlignment="1">
      <alignment horizontal="center" vertical="center"/>
    </xf>
    <xf numFmtId="165" fontId="0" fillId="0" borderId="3" xfId="0" applyNumberFormat="1" applyBorder="1" applyAlignment="1">
      <alignment horizontal="center" vertical="center"/>
    </xf>
    <xf numFmtId="167" fontId="2" fillId="0" borderId="1" xfId="3" applyNumberFormat="1" applyFont="1" applyBorder="1" applyAlignment="1">
      <alignment horizontal="center" vertical="center"/>
    </xf>
    <xf numFmtId="0" fontId="8" fillId="0" borderId="1" xfId="0" applyFont="1" applyFill="1" applyBorder="1" applyAlignment="1">
      <alignment horizontal="center" vertical="center"/>
    </xf>
    <xf numFmtId="0" fontId="0" fillId="0" borderId="0" xfId="0" applyFill="1" applyAlignment="1">
      <alignment horizontal="center" vertical="center"/>
    </xf>
    <xf numFmtId="165" fontId="0" fillId="0" borderId="1" xfId="0" applyNumberFormat="1" applyBorder="1" applyAlignment="1">
      <alignment horizontal="center" vertical="center"/>
    </xf>
    <xf numFmtId="0" fontId="0" fillId="0" borderId="1" xfId="0" applyBorder="1" applyAlignment="1">
      <alignment horizontal="center" vertical="center"/>
    </xf>
    <xf numFmtId="0" fontId="8" fillId="0" borderId="1" xfId="0" applyFont="1" applyBorder="1" applyAlignment="1">
      <alignment horizontal="left" vertical="center" wrapText="1"/>
    </xf>
    <xf numFmtId="165" fontId="0" fillId="0" borderId="1" xfId="0" applyNumberFormat="1" applyBorder="1" applyAlignment="1">
      <alignment horizontal="center" vertical="center"/>
    </xf>
    <xf numFmtId="165" fontId="1" fillId="0" borderId="1" xfId="0" applyNumberFormat="1" applyFont="1" applyBorder="1" applyAlignment="1">
      <alignment horizontal="center" vertical="center"/>
    </xf>
    <xf numFmtId="0" fontId="6" fillId="4" borderId="1" xfId="0" applyFont="1" applyFill="1" applyBorder="1" applyAlignment="1">
      <alignment horizontal="center" vertical="center" wrapText="1"/>
    </xf>
    <xf numFmtId="0" fontId="1" fillId="0" borderId="1" xfId="0" applyFont="1" applyBorder="1" applyAlignment="1">
      <alignment horizontal="left"/>
    </xf>
    <xf numFmtId="0" fontId="0" fillId="0" borderId="2" xfId="0" applyFont="1" applyBorder="1" applyAlignment="1">
      <alignment horizontal="left" vertical="center" wrapText="1"/>
    </xf>
    <xf numFmtId="0" fontId="1" fillId="0" borderId="4" xfId="0" applyFont="1" applyBorder="1" applyAlignment="1">
      <alignment horizontal="left" vertical="center" wrapText="1"/>
    </xf>
    <xf numFmtId="0" fontId="1" fillId="0" borderId="3" xfId="0" applyFont="1" applyBorder="1" applyAlignment="1">
      <alignment horizontal="left" vertical="center" wrapText="1"/>
    </xf>
    <xf numFmtId="0" fontId="1" fillId="2" borderId="2"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3" xfId="0" applyFont="1" applyFill="1" applyBorder="1" applyAlignment="1">
      <alignment horizontal="center" vertical="center"/>
    </xf>
    <xf numFmtId="0" fontId="0" fillId="0" borderId="2" xfId="0" applyFill="1" applyBorder="1" applyAlignment="1">
      <alignment horizontal="left" vertical="top" wrapText="1"/>
    </xf>
    <xf numFmtId="0" fontId="0" fillId="0" borderId="4" xfId="0" applyFill="1" applyBorder="1" applyAlignment="1">
      <alignment horizontal="left" vertical="top" wrapText="1"/>
    </xf>
    <xf numFmtId="0" fontId="0" fillId="0" borderId="3" xfId="0" applyFill="1" applyBorder="1" applyAlignment="1">
      <alignment horizontal="left" vertical="top" wrapText="1"/>
    </xf>
    <xf numFmtId="0" fontId="7" fillId="4" borderId="10" xfId="0" applyFont="1" applyFill="1" applyBorder="1" applyAlignment="1">
      <alignment horizontal="center" vertical="center"/>
    </xf>
    <xf numFmtId="0" fontId="7" fillId="4" borderId="11" xfId="0" applyFont="1" applyFill="1" applyBorder="1" applyAlignment="1">
      <alignment horizontal="center" vertical="center"/>
    </xf>
    <xf numFmtId="165" fontId="0" fillId="0" borderId="1" xfId="0" applyNumberFormat="1" applyBorder="1" applyAlignment="1">
      <alignment horizontal="left" vertical="center" wrapText="1"/>
    </xf>
    <xf numFmtId="0" fontId="3" fillId="3" borderId="1" xfId="0" applyFont="1" applyFill="1" applyBorder="1" applyAlignment="1">
      <alignment horizontal="left" vertical="center" wrapText="1"/>
    </xf>
    <xf numFmtId="0" fontId="1" fillId="0" borderId="1" xfId="0" applyFont="1" applyBorder="1" applyAlignment="1">
      <alignment horizontal="left" vertical="center"/>
    </xf>
    <xf numFmtId="165" fontId="0" fillId="0" borderId="1" xfId="0" applyNumberFormat="1" applyBorder="1" applyAlignment="1">
      <alignment horizontal="center" vertical="center" wrapText="1"/>
    </xf>
    <xf numFmtId="0" fontId="4" fillId="0" borderId="1" xfId="0" applyFont="1" applyBorder="1" applyAlignment="1">
      <alignment horizontal="left" vertical="center"/>
    </xf>
    <xf numFmtId="0" fontId="1" fillId="0" borderId="1" xfId="0" applyFont="1" applyBorder="1" applyAlignment="1">
      <alignment horizontal="center" vertical="center"/>
    </xf>
    <xf numFmtId="0" fontId="0" fillId="0" borderId="1" xfId="0" applyBorder="1" applyAlignment="1">
      <alignment horizontal="center" vertical="center"/>
    </xf>
    <xf numFmtId="0" fontId="1" fillId="2" borderId="5"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8" xfId="0" applyFont="1" applyFill="1" applyBorder="1" applyAlignment="1">
      <alignment horizontal="center" vertical="center"/>
    </xf>
    <xf numFmtId="0" fontId="3" fillId="3" borderId="2" xfId="0" applyFont="1" applyFill="1" applyBorder="1" applyAlignment="1">
      <alignment horizontal="left" vertical="center" wrapText="1"/>
    </xf>
    <xf numFmtId="0" fontId="3" fillId="3" borderId="4" xfId="0" applyFont="1" applyFill="1" applyBorder="1" applyAlignment="1">
      <alignment horizontal="left" vertical="center" wrapText="1"/>
    </xf>
    <xf numFmtId="0" fontId="3" fillId="3" borderId="3" xfId="0" applyFont="1" applyFill="1" applyBorder="1" applyAlignment="1">
      <alignment horizontal="left" vertical="center" wrapText="1"/>
    </xf>
    <xf numFmtId="9" fontId="0" fillId="0" borderId="2" xfId="1" applyFont="1" applyBorder="1" applyAlignment="1">
      <alignment horizontal="center" vertical="center"/>
    </xf>
    <xf numFmtId="9" fontId="0" fillId="0" borderId="3" xfId="1" applyFont="1" applyBorder="1" applyAlignment="1">
      <alignment horizontal="center" vertical="center"/>
    </xf>
    <xf numFmtId="168" fontId="0" fillId="0" borderId="2" xfId="1" applyNumberFormat="1" applyFont="1" applyBorder="1" applyAlignment="1">
      <alignment horizontal="center" vertical="center"/>
    </xf>
    <xf numFmtId="168" fontId="0" fillId="0" borderId="3" xfId="1" applyNumberFormat="1" applyFont="1" applyBorder="1" applyAlignment="1">
      <alignment horizontal="center" vertical="center"/>
    </xf>
    <xf numFmtId="0" fontId="8" fillId="5" borderId="2" xfId="0" applyFont="1" applyFill="1" applyBorder="1" applyAlignment="1">
      <alignment horizontal="center" vertical="center"/>
    </xf>
    <xf numFmtId="0" fontId="8" fillId="5" borderId="3" xfId="0" applyFont="1" applyFill="1" applyBorder="1" applyAlignment="1">
      <alignment horizontal="center" vertical="center"/>
    </xf>
    <xf numFmtId="167" fontId="0" fillId="0" borderId="2" xfId="3" applyNumberFormat="1" applyFont="1" applyBorder="1" applyAlignment="1">
      <alignment vertical="center"/>
    </xf>
    <xf numFmtId="167" fontId="0" fillId="0" borderId="3" xfId="3" applyNumberFormat="1" applyFont="1" applyBorder="1" applyAlignment="1">
      <alignment vertical="center"/>
    </xf>
    <xf numFmtId="168" fontId="0" fillId="0" borderId="2" xfId="3" applyNumberFormat="1" applyFont="1" applyBorder="1" applyAlignment="1">
      <alignment horizontal="center" vertical="center"/>
    </xf>
    <xf numFmtId="168" fontId="0" fillId="0" borderId="3" xfId="3" applyNumberFormat="1" applyFont="1" applyBorder="1" applyAlignment="1">
      <alignment horizontal="center" vertical="center"/>
    </xf>
    <xf numFmtId="165" fontId="0" fillId="0" borderId="2" xfId="0" applyNumberFormat="1" applyBorder="1" applyAlignment="1">
      <alignment vertical="center"/>
    </xf>
    <xf numFmtId="165" fontId="0" fillId="0" borderId="3" xfId="0" applyNumberFormat="1" applyBorder="1" applyAlignment="1">
      <alignment vertical="center"/>
    </xf>
    <xf numFmtId="168" fontId="0" fillId="0" borderId="2" xfId="1" applyNumberFormat="1" applyFont="1" applyBorder="1" applyAlignment="1">
      <alignment vertical="center"/>
    </xf>
    <xf numFmtId="168" fontId="0" fillId="0" borderId="3" xfId="1" applyNumberFormat="1" applyFont="1" applyBorder="1" applyAlignment="1">
      <alignment vertical="center"/>
    </xf>
  </cellXfs>
  <cellStyles count="4">
    <cellStyle name="Comma" xfId="3" builtinId="3"/>
    <cellStyle name="Normal" xfId="0" builtinId="0"/>
    <cellStyle name="Normal 2" xfId="2"/>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2</xdr:col>
      <xdr:colOff>1190625</xdr:colOff>
      <xdr:row>26</xdr:row>
      <xdr:rowOff>47625</xdr:rowOff>
    </xdr:from>
    <xdr:to>
      <xdr:col>6</xdr:col>
      <xdr:colOff>931545</xdr:colOff>
      <xdr:row>31</xdr:row>
      <xdr:rowOff>70485</xdr:rowOff>
    </xdr:to>
    <xdr:pic>
      <xdr:nvPicPr>
        <xdr:cNvPr id="2" name="Picture 1">
          <a:extLst>
            <a:ext uri="{FF2B5EF4-FFF2-40B4-BE49-F238E27FC236}">
              <a16:creationId xmlns:a16="http://schemas.microsoft.com/office/drawing/2014/main" xmlns="" id="{D6ADB15B-48CB-DE8B-9BE9-EE5B51EA33B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09825" y="5276850"/>
          <a:ext cx="5703570" cy="975360"/>
        </a:xfrm>
        <a:prstGeom prst="rect">
          <a:avLst/>
        </a:prstGeom>
        <a:noFill/>
        <a:ln>
          <a:noFill/>
        </a:ln>
      </xdr:spPr>
    </xdr:pic>
    <xdr:clientData/>
  </xdr:twoCellAnchor>
  <xdr:twoCellAnchor editAs="oneCell">
    <xdr:from>
      <xdr:col>2</xdr:col>
      <xdr:colOff>1190625</xdr:colOff>
      <xdr:row>32</xdr:row>
      <xdr:rowOff>142875</xdr:rowOff>
    </xdr:from>
    <xdr:to>
      <xdr:col>6</xdr:col>
      <xdr:colOff>1171575</xdr:colOff>
      <xdr:row>38</xdr:row>
      <xdr:rowOff>184785</xdr:rowOff>
    </xdr:to>
    <xdr:pic>
      <xdr:nvPicPr>
        <xdr:cNvPr id="3" name="Picture 2">
          <a:extLst>
            <a:ext uri="{FF2B5EF4-FFF2-40B4-BE49-F238E27FC236}">
              <a16:creationId xmlns:a16="http://schemas.microsoft.com/office/drawing/2014/main" xmlns="" id="{BA4DA9D5-C516-2070-059B-EE0F5E19CF79}"/>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09825" y="6515100"/>
          <a:ext cx="5943600" cy="118491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9</xdr:col>
      <xdr:colOff>685800</xdr:colOff>
      <xdr:row>31</xdr:row>
      <xdr:rowOff>66675</xdr:rowOff>
    </xdr:from>
    <xdr:to>
      <xdr:col>16</xdr:col>
      <xdr:colOff>371475</xdr:colOff>
      <xdr:row>36</xdr:row>
      <xdr:rowOff>89535</xdr:rowOff>
    </xdr:to>
    <xdr:pic>
      <xdr:nvPicPr>
        <xdr:cNvPr id="2" name="Picture 1">
          <a:extLst>
            <a:ext uri="{FF2B5EF4-FFF2-40B4-BE49-F238E27FC236}">
              <a16:creationId xmlns:a16="http://schemas.microsoft.com/office/drawing/2014/main" xmlns="" id="{D6ADB15B-48CB-DE8B-9BE9-EE5B51EA33B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658600" y="5715000"/>
          <a:ext cx="5553075" cy="975360"/>
        </a:xfrm>
        <a:prstGeom prst="rect">
          <a:avLst/>
        </a:prstGeom>
        <a:noFill/>
        <a:ln>
          <a:noFill/>
        </a:ln>
      </xdr:spPr>
    </xdr:pic>
    <xdr:clientData/>
  </xdr:twoCellAnchor>
  <xdr:twoCellAnchor editAs="oneCell">
    <xdr:from>
      <xdr:col>10</xdr:col>
      <xdr:colOff>295275</xdr:colOff>
      <xdr:row>36</xdr:row>
      <xdr:rowOff>76200</xdr:rowOff>
    </xdr:from>
    <xdr:to>
      <xdr:col>17</xdr:col>
      <xdr:colOff>504825</xdr:colOff>
      <xdr:row>42</xdr:row>
      <xdr:rowOff>118110</xdr:rowOff>
    </xdr:to>
    <xdr:pic>
      <xdr:nvPicPr>
        <xdr:cNvPr id="3" name="Picture 2">
          <a:extLst>
            <a:ext uri="{FF2B5EF4-FFF2-40B4-BE49-F238E27FC236}">
              <a16:creationId xmlns:a16="http://schemas.microsoft.com/office/drawing/2014/main" xmlns="" id="{BA4DA9D5-C516-2070-059B-EE0F5E19CF79}"/>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392025" y="6677025"/>
          <a:ext cx="5562600" cy="1184910"/>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638175</xdr:colOff>
      <xdr:row>28</xdr:row>
      <xdr:rowOff>114300</xdr:rowOff>
    </xdr:from>
    <xdr:to>
      <xdr:col>11</xdr:col>
      <xdr:colOff>57150</xdr:colOff>
      <xdr:row>33</xdr:row>
      <xdr:rowOff>137160</xdr:rowOff>
    </xdr:to>
    <xdr:pic>
      <xdr:nvPicPr>
        <xdr:cNvPr id="2" name="Picture 1">
          <a:extLst>
            <a:ext uri="{FF2B5EF4-FFF2-40B4-BE49-F238E27FC236}">
              <a16:creationId xmlns:a16="http://schemas.microsoft.com/office/drawing/2014/main" xmlns="" id="{D6ADB15B-48CB-DE8B-9BE9-EE5B51EA33B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20025" y="5372100"/>
          <a:ext cx="5553075" cy="975360"/>
        </a:xfrm>
        <a:prstGeom prst="rect">
          <a:avLst/>
        </a:prstGeom>
        <a:noFill/>
        <a:ln>
          <a:noFill/>
        </a:ln>
      </xdr:spPr>
    </xdr:pic>
    <xdr:clientData/>
  </xdr:twoCellAnchor>
  <xdr:twoCellAnchor editAs="oneCell">
    <xdr:from>
      <xdr:col>6</xdr:col>
      <xdr:colOff>647700</xdr:colOff>
      <xdr:row>34</xdr:row>
      <xdr:rowOff>57150</xdr:rowOff>
    </xdr:from>
    <xdr:to>
      <xdr:col>11</xdr:col>
      <xdr:colOff>76200</xdr:colOff>
      <xdr:row>40</xdr:row>
      <xdr:rowOff>99060</xdr:rowOff>
    </xdr:to>
    <xdr:pic>
      <xdr:nvPicPr>
        <xdr:cNvPr id="3" name="Picture 2">
          <a:extLst>
            <a:ext uri="{FF2B5EF4-FFF2-40B4-BE49-F238E27FC236}">
              <a16:creationId xmlns:a16="http://schemas.microsoft.com/office/drawing/2014/main" xmlns="" id="{BA4DA9D5-C516-2070-059B-EE0F5E19CF79}"/>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829550" y="6457950"/>
          <a:ext cx="5562600" cy="1184910"/>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5:K22"/>
  <sheetViews>
    <sheetView workbookViewId="0">
      <selection activeCell="F1" sqref="F1:F1048576"/>
    </sheetView>
  </sheetViews>
  <sheetFormatPr defaultColWidth="9.140625" defaultRowHeight="15" x14ac:dyDescent="0.25"/>
  <cols>
    <col min="1" max="2" width="9.140625" style="7"/>
    <col min="3" max="3" width="31.42578125" style="7" bestFit="1" customWidth="1"/>
    <col min="4" max="4" width="16" style="7" bestFit="1" customWidth="1"/>
    <col min="5" max="5" width="18.28515625" style="7" bestFit="1" customWidth="1"/>
    <col min="6" max="6" width="23.7109375" style="7" bestFit="1" customWidth="1"/>
    <col min="7" max="7" width="19.5703125" style="7" bestFit="1" customWidth="1"/>
    <col min="8" max="8" width="21.42578125" style="7" bestFit="1" customWidth="1"/>
    <col min="9" max="9" width="15.85546875" style="7" bestFit="1" customWidth="1"/>
    <col min="10" max="10" width="16.28515625" style="7" bestFit="1" customWidth="1"/>
    <col min="11" max="11" width="18.28515625" style="7" bestFit="1" customWidth="1"/>
    <col min="12" max="12" width="16.28515625" style="7" bestFit="1" customWidth="1"/>
    <col min="13" max="16384" width="9.140625" style="7"/>
  </cols>
  <sheetData>
    <row r="5" spans="3:11" ht="15.75" x14ac:dyDescent="0.25">
      <c r="C5" s="41" t="s">
        <v>46</v>
      </c>
      <c r="D5" s="38" t="s">
        <v>34</v>
      </c>
      <c r="E5" s="38" t="s">
        <v>43</v>
      </c>
      <c r="F5" s="38" t="s">
        <v>61</v>
      </c>
      <c r="G5" s="38" t="s">
        <v>44</v>
      </c>
      <c r="H5" s="38" t="s">
        <v>45</v>
      </c>
    </row>
    <row r="6" spans="3:11" ht="15.75" x14ac:dyDescent="0.25">
      <c r="C6" s="37" t="s">
        <v>35</v>
      </c>
      <c r="D6" s="42">
        <v>854332</v>
      </c>
      <c r="E6" s="42">
        <v>100000</v>
      </c>
      <c r="F6" s="43">
        <v>100000</v>
      </c>
      <c r="G6" s="43">
        <v>300000</v>
      </c>
      <c r="H6" s="43">
        <f>D6-(G6+F6)</f>
        <v>454332</v>
      </c>
    </row>
    <row r="7" spans="3:11" ht="15.75" x14ac:dyDescent="0.25">
      <c r="C7" s="37" t="s">
        <v>36</v>
      </c>
      <c r="D7" s="36"/>
      <c r="E7" s="60">
        <f>G18</f>
        <v>3558</v>
      </c>
      <c r="F7" s="19">
        <f>F18</f>
        <v>2135</v>
      </c>
      <c r="G7" s="19">
        <f>E18</f>
        <v>1176</v>
      </c>
      <c r="H7" s="19">
        <f>D18</f>
        <v>672</v>
      </c>
      <c r="J7" s="20">
        <f>AVERAGE(F7:H7)</f>
        <v>1327.6666666666667</v>
      </c>
    </row>
    <row r="8" spans="3:11" ht="15.75" x14ac:dyDescent="0.25">
      <c r="C8" s="37" t="s">
        <v>41</v>
      </c>
      <c r="D8" s="36"/>
      <c r="E8" s="56">
        <f>E7*E6</f>
        <v>355800000</v>
      </c>
      <c r="F8" s="19">
        <f>F7*F6</f>
        <v>213500000</v>
      </c>
      <c r="G8" s="40">
        <f t="shared" ref="G8:H8" si="0">G7*G6</f>
        <v>352800000</v>
      </c>
      <c r="H8" s="40">
        <f t="shared" si="0"/>
        <v>305311104</v>
      </c>
      <c r="J8" s="20">
        <f>SUM(F8:H8)</f>
        <v>871611104</v>
      </c>
      <c r="K8" s="21">
        <f>J8/D6</f>
        <v>1020.2252801018808</v>
      </c>
    </row>
    <row r="9" spans="3:11" ht="15.75" x14ac:dyDescent="0.25">
      <c r="C9" s="37" t="s">
        <v>40</v>
      </c>
      <c r="D9" s="36"/>
      <c r="E9" s="48"/>
      <c r="F9" s="76">
        <f>SUM(E8:H8)</f>
        <v>1227411104</v>
      </c>
      <c r="G9" s="76"/>
      <c r="H9" s="76"/>
      <c r="I9" s="20"/>
    </row>
    <row r="10" spans="3:11" ht="15.75" x14ac:dyDescent="0.25">
      <c r="C10" s="37" t="s">
        <v>42</v>
      </c>
      <c r="D10" s="36"/>
      <c r="E10" s="48"/>
      <c r="F10" s="77">
        <f>F9/D6</f>
        <v>1436.6910100522982</v>
      </c>
      <c r="G10" s="77"/>
      <c r="H10" s="77"/>
      <c r="I10" s="20">
        <f>F9+670000000</f>
        <v>1897411104</v>
      </c>
      <c r="J10" s="65">
        <f>142*10000000</f>
        <v>1420000000</v>
      </c>
      <c r="K10" s="20">
        <f>I10-J10</f>
        <v>477411104</v>
      </c>
    </row>
    <row r="12" spans="3:11" ht="15.75" x14ac:dyDescent="0.25">
      <c r="C12" s="38" t="s">
        <v>13</v>
      </c>
      <c r="D12" s="38" t="s">
        <v>66</v>
      </c>
      <c r="E12" s="38" t="s">
        <v>65</v>
      </c>
      <c r="F12" s="38" t="s">
        <v>67</v>
      </c>
      <c r="G12" s="38" t="s">
        <v>68</v>
      </c>
    </row>
    <row r="13" spans="3:11" x14ac:dyDescent="0.25">
      <c r="C13" s="48" t="s">
        <v>52</v>
      </c>
      <c r="D13" s="58">
        <v>2000000</v>
      </c>
      <c r="E13" s="58">
        <v>3500000</v>
      </c>
      <c r="F13" s="58">
        <v>6000000</v>
      </c>
      <c r="G13" s="61">
        <v>10000000</v>
      </c>
      <c r="H13" s="45"/>
    </row>
    <row r="14" spans="3:11" x14ac:dyDescent="0.25">
      <c r="C14" s="48" t="s">
        <v>51</v>
      </c>
      <c r="D14" s="58">
        <f>D13*1.6</f>
        <v>3200000</v>
      </c>
      <c r="E14" s="58">
        <f t="shared" ref="E14:F14" si="1">E13*1.6</f>
        <v>5600000</v>
      </c>
      <c r="F14" s="58">
        <f t="shared" si="1"/>
        <v>9600000</v>
      </c>
      <c r="G14" s="58">
        <f t="shared" ref="G14" si="2">G13*1.6</f>
        <v>16000000</v>
      </c>
    </row>
    <row r="15" spans="3:11" x14ac:dyDescent="0.25">
      <c r="C15" s="48" t="s">
        <v>53</v>
      </c>
      <c r="D15" s="58">
        <f>D14/4046.85</f>
        <v>790.73847560448246</v>
      </c>
      <c r="E15" s="58">
        <f t="shared" ref="E15:F15" si="3">E14/4046.85</f>
        <v>1383.7923323078444</v>
      </c>
      <c r="F15" s="58">
        <f t="shared" si="3"/>
        <v>2372.2154268134477</v>
      </c>
      <c r="G15" s="58">
        <f t="shared" ref="G15" si="4">G14/4046.85</f>
        <v>3953.6923780224124</v>
      </c>
    </row>
    <row r="16" spans="3:11" x14ac:dyDescent="0.25">
      <c r="C16" s="48" t="s">
        <v>63</v>
      </c>
      <c r="D16" s="59">
        <v>0.15</v>
      </c>
      <c r="E16" s="59">
        <v>0.15</v>
      </c>
      <c r="F16" s="59">
        <v>0.1</v>
      </c>
      <c r="G16" s="59">
        <v>0.1</v>
      </c>
    </row>
    <row r="17" spans="3:8" ht="30" x14ac:dyDescent="0.25">
      <c r="C17" s="57" t="s">
        <v>62</v>
      </c>
      <c r="D17" s="49">
        <f>D15*(1-D16)</f>
        <v>672.12770426381007</v>
      </c>
      <c r="E17" s="49">
        <f t="shared" ref="E17:G17" si="5">E15*(1-E16)</f>
        <v>1176.2234824616678</v>
      </c>
      <c r="F17" s="49">
        <f t="shared" si="5"/>
        <v>2134.9938841321032</v>
      </c>
      <c r="G17" s="49">
        <f t="shared" si="5"/>
        <v>3558.3231402201714</v>
      </c>
    </row>
    <row r="18" spans="3:8" x14ac:dyDescent="0.25">
      <c r="C18" s="48" t="s">
        <v>54</v>
      </c>
      <c r="D18" s="49">
        <f>ROUND(D17,0)</f>
        <v>672</v>
      </c>
      <c r="E18" s="49">
        <f t="shared" ref="E18:G18" si="6">ROUND(E17,0)</f>
        <v>1176</v>
      </c>
      <c r="F18" s="49">
        <f t="shared" si="6"/>
        <v>2135</v>
      </c>
      <c r="G18" s="49">
        <f t="shared" si="6"/>
        <v>3558</v>
      </c>
    </row>
    <row r="21" spans="3:8" x14ac:dyDescent="0.25">
      <c r="H21" s="44">
        <f>2399*854332</f>
        <v>2049542468</v>
      </c>
    </row>
    <row r="22" spans="3:8" x14ac:dyDescent="0.25">
      <c r="H22" s="45">
        <f>H21-(25%*H21)</f>
        <v>1537156851</v>
      </c>
    </row>
  </sheetData>
  <mergeCells count="2">
    <mergeCell ref="F9:H9"/>
    <mergeCell ref="F10:H10"/>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D2:J20"/>
  <sheetViews>
    <sheetView workbookViewId="0">
      <selection activeCell="D26" sqref="D26"/>
    </sheetView>
  </sheetViews>
  <sheetFormatPr defaultRowHeight="15" x14ac:dyDescent="0.25"/>
  <cols>
    <col min="4" max="4" width="7" bestFit="1" customWidth="1"/>
    <col min="5" max="5" width="42.5703125" customWidth="1"/>
    <col min="6" max="6" width="8" customWidth="1"/>
    <col min="7" max="7" width="38.42578125" customWidth="1"/>
    <col min="10" max="10" width="18.5703125" bestFit="1" customWidth="1"/>
  </cols>
  <sheetData>
    <row r="2" spans="4:10" ht="34.5" customHeight="1" x14ac:dyDescent="0.25">
      <c r="D2" s="78" t="s">
        <v>0</v>
      </c>
      <c r="E2" s="78"/>
      <c r="F2" s="78"/>
      <c r="G2" s="78"/>
    </row>
    <row r="3" spans="4:10" x14ac:dyDescent="0.25">
      <c r="D3" s="79" t="s">
        <v>28</v>
      </c>
      <c r="E3" s="79"/>
      <c r="F3" s="79"/>
      <c r="G3" s="79"/>
    </row>
    <row r="4" spans="4:10" ht="50.25" customHeight="1" x14ac:dyDescent="0.25">
      <c r="D4" s="80" t="s">
        <v>47</v>
      </c>
      <c r="E4" s="81"/>
      <c r="F4" s="81"/>
      <c r="G4" s="82"/>
    </row>
    <row r="5" spans="4:10" x14ac:dyDescent="0.25">
      <c r="D5" s="83" t="s">
        <v>1</v>
      </c>
      <c r="E5" s="84"/>
      <c r="F5" s="84"/>
      <c r="G5" s="85"/>
    </row>
    <row r="6" spans="4:10" x14ac:dyDescent="0.25">
      <c r="D6" s="13" t="s">
        <v>2</v>
      </c>
      <c r="E6" s="13" t="s">
        <v>3</v>
      </c>
      <c r="F6" s="14" t="s">
        <v>4</v>
      </c>
      <c r="G6" s="15" t="s">
        <v>25</v>
      </c>
    </row>
    <row r="7" spans="4:10" x14ac:dyDescent="0.25">
      <c r="D7" s="2" t="s">
        <v>5</v>
      </c>
      <c r="E7" s="3" t="s">
        <v>6</v>
      </c>
      <c r="F7" s="11">
        <f>G7/4046.85</f>
        <v>211.11036979379023</v>
      </c>
      <c r="G7" s="6">
        <v>854332</v>
      </c>
      <c r="H7" s="1">
        <f>G7/1.196</f>
        <v>714324.41471571906</v>
      </c>
    </row>
    <row r="8" spans="4:10" ht="30" customHeight="1" x14ac:dyDescent="0.25">
      <c r="D8" s="86" t="s">
        <v>38</v>
      </c>
      <c r="E8" s="87"/>
      <c r="F8" s="87"/>
      <c r="G8" s="88"/>
      <c r="H8">
        <f>H7*0.5</f>
        <v>357162.20735785953</v>
      </c>
      <c r="I8">
        <v>7200</v>
      </c>
      <c r="J8">
        <f>H8*I8</f>
        <v>2571567892.9765887</v>
      </c>
    </row>
    <row r="9" spans="4:10" ht="30" x14ac:dyDescent="0.25">
      <c r="D9" s="2" t="s">
        <v>7</v>
      </c>
      <c r="E9" s="4" t="s">
        <v>39</v>
      </c>
      <c r="F9" s="12">
        <f>F7*G13</f>
        <v>168.88829583503218</v>
      </c>
      <c r="G9" s="12">
        <f>G7*G13</f>
        <v>683465.60000000009</v>
      </c>
      <c r="H9">
        <f>H7*0.3</f>
        <v>214297.32441471572</v>
      </c>
      <c r="I9">
        <v>5400</v>
      </c>
      <c r="J9">
        <f>H9*I9</f>
        <v>1157205551.8394649</v>
      </c>
    </row>
    <row r="10" spans="4:10" x14ac:dyDescent="0.25">
      <c r="D10" s="2" t="s">
        <v>8</v>
      </c>
      <c r="E10" s="3" t="s">
        <v>26</v>
      </c>
      <c r="F10" s="5"/>
      <c r="G10" s="16">
        <v>2400</v>
      </c>
      <c r="J10">
        <f>SUM(J8:J9)</f>
        <v>3728773444.8160534</v>
      </c>
    </row>
    <row r="11" spans="4:10" x14ac:dyDescent="0.25">
      <c r="G11" s="54"/>
    </row>
    <row r="13" spans="4:10" x14ac:dyDescent="0.25">
      <c r="G13" s="52">
        <v>0.8</v>
      </c>
    </row>
    <row r="14" spans="4:10" x14ac:dyDescent="0.25">
      <c r="H14">
        <v>30000</v>
      </c>
    </row>
    <row r="15" spans="4:10" x14ac:dyDescent="0.25">
      <c r="H15">
        <f>H14/10.7639</f>
        <v>2787.0938971933965</v>
      </c>
    </row>
    <row r="16" spans="4:10" x14ac:dyDescent="0.25">
      <c r="H16">
        <v>854332</v>
      </c>
    </row>
    <row r="17" spans="7:8" x14ac:dyDescent="0.25">
      <c r="H17">
        <f>H16/H15</f>
        <v>306.53147382666668</v>
      </c>
    </row>
    <row r="18" spans="7:8" x14ac:dyDescent="0.25">
      <c r="G18">
        <v>15000000</v>
      </c>
      <c r="H18" s="17"/>
    </row>
    <row r="19" spans="7:8" x14ac:dyDescent="0.25">
      <c r="G19">
        <f>G18/30000</f>
        <v>500</v>
      </c>
    </row>
    <row r="20" spans="7:8" x14ac:dyDescent="0.25">
      <c r="G20" s="55">
        <f>G19*10.7639*4046.85</f>
        <v>21779944.357499998</v>
      </c>
    </row>
  </sheetData>
  <mergeCells count="5">
    <mergeCell ref="D2:G2"/>
    <mergeCell ref="D3:G3"/>
    <mergeCell ref="D4:G4"/>
    <mergeCell ref="D5:G5"/>
    <mergeCell ref="D8:G8"/>
  </mergeCells>
  <pageMargins left="1" right="1" top="1" bottom="1" header="0.5" footer="0.5"/>
  <pageSetup paperSize="9" scale="78"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2:N32"/>
  <sheetViews>
    <sheetView topLeftCell="B1" zoomScaleNormal="100" workbookViewId="0">
      <selection activeCell="L13" sqref="L13"/>
    </sheetView>
  </sheetViews>
  <sheetFormatPr defaultColWidth="9.140625" defaultRowHeight="15" x14ac:dyDescent="0.25"/>
  <cols>
    <col min="1" max="2" width="9.140625" style="22"/>
    <col min="3" max="3" width="45.140625" style="22" customWidth="1"/>
    <col min="4" max="4" width="11.85546875" style="7" customWidth="1"/>
    <col min="5" max="5" width="20.7109375" style="22" customWidth="1"/>
    <col min="6" max="6" width="20" style="22" customWidth="1"/>
    <col min="7" max="7" width="18.85546875" style="22" customWidth="1"/>
    <col min="8" max="8" width="14.28515625" style="22" bestFit="1" customWidth="1"/>
    <col min="9" max="9" width="18" style="22" bestFit="1" customWidth="1"/>
    <col min="10" max="16384" width="9.140625" style="22"/>
  </cols>
  <sheetData>
    <row r="2" spans="3:14" ht="18.75" x14ac:dyDescent="0.25">
      <c r="C2" s="89" t="s">
        <v>23</v>
      </c>
      <c r="D2" s="90"/>
      <c r="E2" s="90"/>
      <c r="F2" s="90"/>
      <c r="G2" s="90"/>
      <c r="H2" s="90"/>
      <c r="I2" s="90"/>
    </row>
    <row r="3" spans="3:14" s="7" customFormat="1" ht="24.75" customHeight="1" x14ac:dyDescent="0.25">
      <c r="C3" s="100" t="s">
        <v>13</v>
      </c>
      <c r="D3" s="98" t="s">
        <v>16</v>
      </c>
      <c r="E3" s="9">
        <v>44738</v>
      </c>
      <c r="F3" s="9">
        <f>EDATE(E3,12)</f>
        <v>45103</v>
      </c>
      <c r="G3" s="9">
        <f t="shared" ref="G3" si="0">EDATE(F3,12)</f>
        <v>45469</v>
      </c>
      <c r="H3" s="9">
        <f t="shared" ref="H3" si="1">EDATE(G3,12)</f>
        <v>45834</v>
      </c>
      <c r="I3" s="9">
        <f t="shared" ref="I3" si="2">EDATE(H3,12)</f>
        <v>46199</v>
      </c>
    </row>
    <row r="4" spans="3:14" s="7" customFormat="1" ht="15.75" customHeight="1" x14ac:dyDescent="0.25">
      <c r="C4" s="101"/>
      <c r="D4" s="99"/>
      <c r="E4" s="9" t="s">
        <v>55</v>
      </c>
      <c r="F4" s="9" t="s">
        <v>56</v>
      </c>
      <c r="G4" s="9" t="s">
        <v>57</v>
      </c>
      <c r="H4" s="9" t="s">
        <v>58</v>
      </c>
      <c r="I4" s="9" t="s">
        <v>59</v>
      </c>
    </row>
    <row r="5" spans="3:14" x14ac:dyDescent="0.25">
      <c r="C5" s="23" t="s">
        <v>14</v>
      </c>
      <c r="D5" s="8" t="s">
        <v>17</v>
      </c>
      <c r="E5" s="24">
        <v>0.15</v>
      </c>
      <c r="F5" s="24">
        <v>0.2</v>
      </c>
      <c r="G5" s="24">
        <v>0.2</v>
      </c>
      <c r="H5" s="53">
        <v>0.25</v>
      </c>
      <c r="I5" s="53">
        <v>0.2</v>
      </c>
    </row>
    <row r="6" spans="3:14" x14ac:dyDescent="0.25">
      <c r="C6" s="23" t="s">
        <v>18</v>
      </c>
      <c r="D6" s="8" t="s">
        <v>29</v>
      </c>
      <c r="E6" s="25">
        <f>E5*Dashboard!G9</f>
        <v>102519.84000000001</v>
      </c>
      <c r="F6" s="25">
        <f>F5*Dashboard!$G$9</f>
        <v>136693.12000000002</v>
      </c>
      <c r="G6" s="25">
        <f>G5*Dashboard!$G$9</f>
        <v>136693.12000000002</v>
      </c>
      <c r="H6" s="25">
        <f>H5*Dashboard!$G$9</f>
        <v>170866.40000000002</v>
      </c>
      <c r="I6" s="25">
        <f>I5*Dashboard!$G$9</f>
        <v>136693.12000000002</v>
      </c>
    </row>
    <row r="7" spans="3:14" x14ac:dyDescent="0.25">
      <c r="C7" s="26" t="s">
        <v>19</v>
      </c>
      <c r="D7" s="8" t="s">
        <v>17</v>
      </c>
      <c r="E7" s="27">
        <f>0</f>
        <v>0</v>
      </c>
      <c r="F7" s="27">
        <v>0.05</v>
      </c>
      <c r="G7" s="27">
        <v>0.05</v>
      </c>
      <c r="H7" s="53">
        <v>7.0000000000000007E-2</v>
      </c>
      <c r="I7" s="53">
        <v>7.0000000000000007E-2</v>
      </c>
    </row>
    <row r="8" spans="3:14" x14ac:dyDescent="0.25">
      <c r="C8" s="26" t="s">
        <v>60</v>
      </c>
      <c r="D8" s="8" t="s">
        <v>30</v>
      </c>
      <c r="E8" s="19">
        <v>2400</v>
      </c>
      <c r="F8" s="19">
        <f>E8*(1+F7)</f>
        <v>2520</v>
      </c>
      <c r="G8" s="19">
        <f t="shared" ref="G8" si="3">F8*(1+G7)</f>
        <v>2646</v>
      </c>
      <c r="H8" s="46">
        <f t="shared" ref="H8" si="4">G8*(1+H7)</f>
        <v>2831.2200000000003</v>
      </c>
      <c r="I8" s="46">
        <f t="shared" ref="I8" si="5">H8*(1+I7)</f>
        <v>3029.4054000000006</v>
      </c>
    </row>
    <row r="9" spans="3:14" x14ac:dyDescent="0.25">
      <c r="C9" s="28" t="s">
        <v>15</v>
      </c>
      <c r="D9" s="10"/>
      <c r="E9" s="19">
        <f>E6*E8</f>
        <v>246047616.00000003</v>
      </c>
      <c r="F9" s="19">
        <f t="shared" ref="F9:I9" si="6">F6*F8</f>
        <v>344466662.40000004</v>
      </c>
      <c r="G9" s="19">
        <f t="shared" si="6"/>
        <v>361689995.52000004</v>
      </c>
      <c r="H9" s="46">
        <f t="shared" si="6"/>
        <v>483760369.00800014</v>
      </c>
      <c r="I9" s="46">
        <f t="shared" si="6"/>
        <v>414098875.87084818</v>
      </c>
    </row>
    <row r="10" spans="3:14" ht="6" customHeight="1" x14ac:dyDescent="0.25">
      <c r="C10" s="96"/>
      <c r="D10" s="96"/>
      <c r="E10" s="96"/>
      <c r="F10" s="96"/>
      <c r="G10" s="96"/>
    </row>
    <row r="11" spans="3:14" x14ac:dyDescent="0.25">
      <c r="C11" s="93" t="s">
        <v>9</v>
      </c>
      <c r="D11" s="93"/>
      <c r="E11" s="93"/>
      <c r="F11" s="93"/>
      <c r="G11" s="93"/>
    </row>
    <row r="12" spans="3:14" x14ac:dyDescent="0.25">
      <c r="C12" s="26" t="s">
        <v>20</v>
      </c>
      <c r="D12" s="8" t="s">
        <v>21</v>
      </c>
      <c r="E12" s="19">
        <f>E9*$J$12</f>
        <v>4920952.32</v>
      </c>
      <c r="F12" s="50">
        <f t="shared" ref="F12:I12" si="7">F9*$J$12</f>
        <v>6889333.2480000006</v>
      </c>
      <c r="G12" s="50">
        <f t="shared" si="7"/>
        <v>7233799.9104000013</v>
      </c>
      <c r="H12" s="50">
        <f t="shared" si="7"/>
        <v>9675207.380160002</v>
      </c>
      <c r="I12" s="50">
        <f t="shared" si="7"/>
        <v>8281977.5174169634</v>
      </c>
      <c r="J12" s="53">
        <v>0.02</v>
      </c>
    </row>
    <row r="13" spans="3:14" x14ac:dyDescent="0.25">
      <c r="C13" s="26" t="s">
        <v>10</v>
      </c>
      <c r="D13" s="8" t="s">
        <v>21</v>
      </c>
      <c r="E13" s="19">
        <f>211*300000</f>
        <v>63300000</v>
      </c>
      <c r="F13" s="19"/>
      <c r="G13" s="46"/>
      <c r="H13" s="46"/>
      <c r="I13" s="46"/>
    </row>
    <row r="14" spans="3:14" x14ac:dyDescent="0.25">
      <c r="C14" s="26"/>
      <c r="D14" s="51"/>
      <c r="E14" s="50"/>
      <c r="F14" s="27">
        <v>0</v>
      </c>
      <c r="G14" s="27">
        <v>2.5000000000000001E-2</v>
      </c>
      <c r="H14" s="27">
        <v>0.05</v>
      </c>
      <c r="I14" s="27">
        <v>0.05</v>
      </c>
      <c r="J14" s="22">
        <v>50</v>
      </c>
      <c r="K14" s="22">
        <v>15</v>
      </c>
      <c r="M14" s="22">
        <v>30000</v>
      </c>
      <c r="N14" s="22">
        <f>M14*K14</f>
        <v>450000</v>
      </c>
    </row>
    <row r="15" spans="3:14" x14ac:dyDescent="0.25">
      <c r="C15" s="26" t="s">
        <v>24</v>
      </c>
      <c r="D15" s="8" t="s">
        <v>21</v>
      </c>
      <c r="E15" s="19">
        <f>$J$15*Dashboard!G7+(E6*K15)</f>
        <v>476349910.32663995</v>
      </c>
      <c r="F15" s="19">
        <f>F6*$K$15*(1+F14)</f>
        <v>22070266.11552</v>
      </c>
      <c r="G15" s="50">
        <f t="shared" ref="G15:I15" si="8">G6*$K$15*(1+G14)</f>
        <v>22622022.768407997</v>
      </c>
      <c r="H15" s="50">
        <f t="shared" si="8"/>
        <v>28967224.276620001</v>
      </c>
      <c r="I15" s="50">
        <f t="shared" si="8"/>
        <v>23173779.421296</v>
      </c>
      <c r="J15" s="22">
        <f>J14*L15</f>
        <v>538.19499999999994</v>
      </c>
      <c r="K15" s="22">
        <f>K14*L15</f>
        <v>161.45849999999999</v>
      </c>
      <c r="L15" s="22">
        <v>10.7639</v>
      </c>
    </row>
    <row r="16" spans="3:14" x14ac:dyDescent="0.25">
      <c r="C16" s="26" t="s">
        <v>64</v>
      </c>
      <c r="D16" s="8" t="s">
        <v>21</v>
      </c>
      <c r="E16" s="19">
        <f>E9*$J$16</f>
        <v>4920952.32</v>
      </c>
      <c r="F16" s="50">
        <f t="shared" ref="F16:I16" si="9">F9*$J$16</f>
        <v>6889333.2480000006</v>
      </c>
      <c r="G16" s="50">
        <f t="shared" si="9"/>
        <v>7233799.9104000013</v>
      </c>
      <c r="H16" s="50">
        <f t="shared" si="9"/>
        <v>9675207.380160002</v>
      </c>
      <c r="I16" s="50">
        <f t="shared" si="9"/>
        <v>8281977.5174169634</v>
      </c>
      <c r="J16" s="64">
        <v>0.02</v>
      </c>
    </row>
    <row r="17" spans="3:13" ht="5.25" customHeight="1" x14ac:dyDescent="0.25">
      <c r="C17" s="97"/>
      <c r="D17" s="97"/>
      <c r="E17" s="97"/>
      <c r="F17" s="97"/>
      <c r="G17" s="97"/>
    </row>
    <row r="18" spans="3:13" x14ac:dyDescent="0.25">
      <c r="C18" s="29" t="s">
        <v>11</v>
      </c>
      <c r="D18" s="18" t="s">
        <v>21</v>
      </c>
      <c r="E18" s="18">
        <f>E9-SUM(E12:E16)</f>
        <v>-303444198.96664</v>
      </c>
      <c r="F18" s="18">
        <f>F9-SUM(F12:F16)</f>
        <v>308617729.78848004</v>
      </c>
      <c r="G18" s="18">
        <f>G9-SUM(G12:G16)</f>
        <v>324600372.90579206</v>
      </c>
      <c r="H18" s="47">
        <f>H9-SUM(H12:H16)</f>
        <v>435442729.92106014</v>
      </c>
      <c r="I18" s="47">
        <f>I9-SUM(I12:I16)</f>
        <v>374361141.36471826</v>
      </c>
    </row>
    <row r="19" spans="3:13" ht="6.75" customHeight="1" x14ac:dyDescent="0.25">
      <c r="C19" s="77"/>
      <c r="D19" s="77"/>
      <c r="E19" s="77"/>
      <c r="F19" s="77"/>
      <c r="G19" s="77"/>
    </row>
    <row r="20" spans="3:13" x14ac:dyDescent="0.25">
      <c r="C20" s="29" t="s">
        <v>12</v>
      </c>
      <c r="D20" s="18" t="s">
        <v>21</v>
      </c>
      <c r="E20" s="29">
        <f>XNPV(17.25%,E18:I18,E3:I3)</f>
        <v>663798707.92044353</v>
      </c>
      <c r="F20" s="94"/>
      <c r="G20" s="94"/>
      <c r="H20" s="30"/>
      <c r="I20" s="30"/>
    </row>
    <row r="21" spans="3:13" x14ac:dyDescent="0.25">
      <c r="C21" s="29" t="s">
        <v>50</v>
      </c>
      <c r="D21" s="39" t="s">
        <v>21</v>
      </c>
      <c r="E21" s="29">
        <f>E20*(1+10%)</f>
        <v>730178578.71248794</v>
      </c>
      <c r="F21" s="91" t="s">
        <v>49</v>
      </c>
      <c r="G21" s="91"/>
      <c r="H21" s="30"/>
      <c r="I21" s="30"/>
    </row>
    <row r="22" spans="3:13" x14ac:dyDescent="0.25">
      <c r="C22" s="95" t="s">
        <v>22</v>
      </c>
      <c r="D22" s="95"/>
      <c r="E22" s="95"/>
      <c r="F22" s="95"/>
      <c r="G22" s="95"/>
      <c r="I22" s="31"/>
    </row>
    <row r="23" spans="3:13" ht="26.25" customHeight="1" x14ac:dyDescent="0.25">
      <c r="C23" s="102" t="s">
        <v>37</v>
      </c>
      <c r="D23" s="103"/>
      <c r="E23" s="103"/>
      <c r="F23" s="103"/>
      <c r="G23" s="104"/>
      <c r="I23" s="32">
        <f>E20/Dashboard!G7</f>
        <v>776.9798016701277</v>
      </c>
    </row>
    <row r="24" spans="3:13" ht="39" customHeight="1" x14ac:dyDescent="0.25">
      <c r="C24" s="102" t="s">
        <v>33</v>
      </c>
      <c r="D24" s="103"/>
      <c r="E24" s="103"/>
      <c r="F24" s="103"/>
      <c r="G24" s="104"/>
      <c r="I24" s="32"/>
    </row>
    <row r="25" spans="3:13" x14ac:dyDescent="0.25">
      <c r="C25" s="92" t="s">
        <v>31</v>
      </c>
      <c r="D25" s="92"/>
      <c r="E25" s="92"/>
      <c r="F25" s="92"/>
      <c r="G25" s="92"/>
    </row>
    <row r="26" spans="3:13" x14ac:dyDescent="0.25">
      <c r="C26" s="92" t="s">
        <v>27</v>
      </c>
      <c r="D26" s="92"/>
      <c r="E26" s="92"/>
      <c r="F26" s="92"/>
      <c r="G26" s="92"/>
    </row>
    <row r="27" spans="3:13" ht="28.5" customHeight="1" x14ac:dyDescent="0.25">
      <c r="C27" s="92" t="s">
        <v>32</v>
      </c>
      <c r="D27" s="92"/>
      <c r="E27" s="92"/>
      <c r="F27" s="92"/>
      <c r="G27" s="92"/>
    </row>
    <row r="28" spans="3:13" ht="26.25" customHeight="1" x14ac:dyDescent="0.25">
      <c r="C28" s="92" t="s">
        <v>48</v>
      </c>
      <c r="D28" s="92"/>
      <c r="E28" s="92"/>
      <c r="F28" s="92"/>
      <c r="G28" s="92"/>
    </row>
    <row r="30" spans="3:13" x14ac:dyDescent="0.25">
      <c r="L30" s="33">
        <v>0.5</v>
      </c>
      <c r="M30" s="34">
        <v>0.125</v>
      </c>
    </row>
    <row r="31" spans="3:13" x14ac:dyDescent="0.25">
      <c r="L31" s="33">
        <v>0.5</v>
      </c>
      <c r="M31" s="33">
        <v>0.22</v>
      </c>
    </row>
    <row r="32" spans="3:13" x14ac:dyDescent="0.25">
      <c r="L32" s="35">
        <f>SUMPRODUCT(M30:M31,L30:L31)</f>
        <v>0.17249999999999999</v>
      </c>
    </row>
  </sheetData>
  <mergeCells count="16">
    <mergeCell ref="C2:I2"/>
    <mergeCell ref="F21:G21"/>
    <mergeCell ref="C28:G28"/>
    <mergeCell ref="C19:G19"/>
    <mergeCell ref="C11:G11"/>
    <mergeCell ref="F20:G20"/>
    <mergeCell ref="C22:G22"/>
    <mergeCell ref="C10:G10"/>
    <mergeCell ref="C17:G17"/>
    <mergeCell ref="D3:D4"/>
    <mergeCell ref="C3:C4"/>
    <mergeCell ref="C25:G25"/>
    <mergeCell ref="C26:G26"/>
    <mergeCell ref="C27:G27"/>
    <mergeCell ref="C23:G23"/>
    <mergeCell ref="C24:G24"/>
  </mergeCells>
  <phoneticPr fontId="10" type="noConversion"/>
  <pageMargins left="0.25" right="0.25" top="0.75" bottom="0.75" header="0.3" footer="0.3"/>
  <pageSetup paperSize="9" scale="72"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5:K23"/>
  <sheetViews>
    <sheetView workbookViewId="0">
      <selection sqref="A1:XFD1048576"/>
    </sheetView>
  </sheetViews>
  <sheetFormatPr defaultColWidth="9.140625" defaultRowHeight="15" x14ac:dyDescent="0.25"/>
  <cols>
    <col min="1" max="2" width="9.140625" style="7"/>
    <col min="3" max="3" width="31.42578125" style="7" bestFit="1" customWidth="1"/>
    <col min="4" max="4" width="16" style="7" bestFit="1" customWidth="1"/>
    <col min="5" max="5" width="18.28515625" style="7" bestFit="1" customWidth="1"/>
    <col min="6" max="6" width="23.7109375" style="7" bestFit="1" customWidth="1"/>
    <col min="7" max="7" width="19.5703125" style="7" bestFit="1" customWidth="1"/>
    <col min="8" max="8" width="21.42578125" style="7" bestFit="1" customWidth="1"/>
    <col min="9" max="9" width="15.85546875" style="7" bestFit="1" customWidth="1"/>
    <col min="10" max="10" width="16.28515625" style="7" bestFit="1" customWidth="1"/>
    <col min="11" max="11" width="18.28515625" style="7" bestFit="1" customWidth="1"/>
    <col min="12" max="12" width="16.28515625" style="7" bestFit="1" customWidth="1"/>
    <col min="13" max="16384" width="9.140625" style="7"/>
  </cols>
  <sheetData>
    <row r="5" spans="3:11" ht="15.75" x14ac:dyDescent="0.25">
      <c r="C5" s="41" t="s">
        <v>46</v>
      </c>
      <c r="D5" s="38" t="s">
        <v>34</v>
      </c>
      <c r="E5" s="38" t="s">
        <v>43</v>
      </c>
      <c r="F5" s="38" t="s">
        <v>61</v>
      </c>
      <c r="G5" s="38" t="s">
        <v>44</v>
      </c>
      <c r="H5" s="38" t="s">
        <v>45</v>
      </c>
    </row>
    <row r="6" spans="3:11" ht="15.75" x14ac:dyDescent="0.25">
      <c r="C6" s="37" t="s">
        <v>35</v>
      </c>
      <c r="D6" s="42">
        <v>854332</v>
      </c>
      <c r="E6" s="42">
        <v>100000</v>
      </c>
      <c r="F6" s="43">
        <v>100000</v>
      </c>
      <c r="G6" s="43">
        <v>300000</v>
      </c>
      <c r="H6" s="43">
        <f>D6-(G6+F6)</f>
        <v>454332</v>
      </c>
    </row>
    <row r="7" spans="3:11" ht="15.75" x14ac:dyDescent="0.25">
      <c r="C7" s="37" t="s">
        <v>36</v>
      </c>
      <c r="D7" s="63"/>
      <c r="E7" s="60">
        <f>G19</f>
        <v>3954</v>
      </c>
      <c r="F7" s="62">
        <f>F19</f>
        <v>2372</v>
      </c>
      <c r="G7" s="62">
        <f>E19</f>
        <v>1384</v>
      </c>
      <c r="H7" s="62">
        <f>D19</f>
        <v>791</v>
      </c>
      <c r="J7" s="20">
        <f>AVERAGE(F7:H7)</f>
        <v>1515.6666666666667</v>
      </c>
    </row>
    <row r="8" spans="3:11" ht="15.75" x14ac:dyDescent="0.25">
      <c r="C8" s="37" t="s">
        <v>41</v>
      </c>
      <c r="D8" s="63"/>
      <c r="E8" s="56">
        <f>E7*E6</f>
        <v>395400000</v>
      </c>
      <c r="F8" s="62">
        <f>F7*F6</f>
        <v>237200000</v>
      </c>
      <c r="G8" s="62">
        <f t="shared" ref="G8:H8" si="0">G7*G6</f>
        <v>415200000</v>
      </c>
      <c r="H8" s="62">
        <f t="shared" si="0"/>
        <v>359376612</v>
      </c>
      <c r="J8" s="20">
        <f>SUM(F8:H8)</f>
        <v>1011776612</v>
      </c>
      <c r="K8" s="21">
        <f>J8/D6</f>
        <v>1184.2897281150654</v>
      </c>
    </row>
    <row r="9" spans="3:11" ht="15.75" x14ac:dyDescent="0.25">
      <c r="C9" s="37" t="s">
        <v>40</v>
      </c>
      <c r="D9" s="63"/>
      <c r="E9" s="63"/>
      <c r="F9" s="76">
        <f>SUM(E8:H8)</f>
        <v>1407176612</v>
      </c>
      <c r="G9" s="76"/>
      <c r="H9" s="76"/>
      <c r="I9" s="20"/>
    </row>
    <row r="10" spans="3:11" ht="15.75" x14ac:dyDescent="0.25">
      <c r="C10" s="37" t="s">
        <v>63</v>
      </c>
      <c r="D10" s="63"/>
      <c r="E10" s="63"/>
      <c r="F10" s="62"/>
      <c r="G10" s="105">
        <v>0.2</v>
      </c>
      <c r="H10" s="106"/>
      <c r="I10" s="20"/>
    </row>
    <row r="11" spans="3:11" ht="15.75" x14ac:dyDescent="0.25">
      <c r="C11" s="37" t="s">
        <v>69</v>
      </c>
      <c r="D11" s="63"/>
      <c r="E11" s="63"/>
      <c r="F11" s="62"/>
      <c r="G11" s="107">
        <f>F9*(1-G10)</f>
        <v>1125741289.6000001</v>
      </c>
      <c r="H11" s="108"/>
      <c r="I11" s="20"/>
    </row>
    <row r="12" spans="3:11" ht="15.75" x14ac:dyDescent="0.25">
      <c r="C12" s="37" t="s">
        <v>42</v>
      </c>
      <c r="D12" s="63"/>
      <c r="E12" s="63"/>
      <c r="F12" s="77">
        <f>F9/D6</f>
        <v>1647.1074617361869</v>
      </c>
      <c r="G12" s="77"/>
      <c r="H12" s="77"/>
      <c r="I12" s="20">
        <f>F9+670000000</f>
        <v>2077176612</v>
      </c>
      <c r="J12" s="65">
        <f>142*10000000</f>
        <v>1420000000</v>
      </c>
      <c r="K12" s="20">
        <f>I12-J12</f>
        <v>657176612</v>
      </c>
    </row>
    <row r="14" spans="3:11" ht="15.75" x14ac:dyDescent="0.25">
      <c r="C14" s="38" t="s">
        <v>13</v>
      </c>
      <c r="D14" s="38" t="s">
        <v>66</v>
      </c>
      <c r="E14" s="38" t="s">
        <v>65</v>
      </c>
      <c r="F14" s="38" t="s">
        <v>67</v>
      </c>
      <c r="G14" s="38" t="s">
        <v>68</v>
      </c>
    </row>
    <row r="15" spans="3:11" x14ac:dyDescent="0.25">
      <c r="C15" s="63" t="s">
        <v>52</v>
      </c>
      <c r="D15" s="58">
        <v>2000000</v>
      </c>
      <c r="E15" s="58">
        <v>3500000</v>
      </c>
      <c r="F15" s="58">
        <v>6000000</v>
      </c>
      <c r="G15" s="61">
        <v>10000000</v>
      </c>
      <c r="H15" s="45"/>
    </row>
    <row r="16" spans="3:11" x14ac:dyDescent="0.25">
      <c r="C16" s="63" t="s">
        <v>51</v>
      </c>
      <c r="D16" s="58">
        <f>D15*1.6</f>
        <v>3200000</v>
      </c>
      <c r="E16" s="58">
        <f t="shared" ref="E16:G16" si="1">E15*1.6</f>
        <v>5600000</v>
      </c>
      <c r="F16" s="58">
        <f t="shared" si="1"/>
        <v>9600000</v>
      </c>
      <c r="G16" s="58">
        <f t="shared" si="1"/>
        <v>16000000</v>
      </c>
    </row>
    <row r="17" spans="3:8" x14ac:dyDescent="0.25">
      <c r="C17" s="63" t="s">
        <v>53</v>
      </c>
      <c r="D17" s="58">
        <f>D16/4046.85</f>
        <v>790.73847560448246</v>
      </c>
      <c r="E17" s="58">
        <f t="shared" ref="E17:G17" si="2">E16/4046.85</f>
        <v>1383.7923323078444</v>
      </c>
      <c r="F17" s="58">
        <f t="shared" si="2"/>
        <v>2372.2154268134477</v>
      </c>
      <c r="G17" s="58">
        <f t="shared" si="2"/>
        <v>3953.6923780224124</v>
      </c>
    </row>
    <row r="18" spans="3:8" ht="30" x14ac:dyDescent="0.25">
      <c r="C18" s="57" t="s">
        <v>62</v>
      </c>
      <c r="D18" s="49">
        <f>D17</f>
        <v>790.73847560448246</v>
      </c>
      <c r="E18" s="49">
        <f t="shared" ref="E18:G18" si="3">E17</f>
        <v>1383.7923323078444</v>
      </c>
      <c r="F18" s="49">
        <f t="shared" si="3"/>
        <v>2372.2154268134477</v>
      </c>
      <c r="G18" s="49">
        <f t="shared" si="3"/>
        <v>3953.6923780224124</v>
      </c>
    </row>
    <row r="19" spans="3:8" x14ac:dyDescent="0.25">
      <c r="C19" s="63" t="s">
        <v>54</v>
      </c>
      <c r="D19" s="49">
        <f>ROUND(D18,0)</f>
        <v>791</v>
      </c>
      <c r="E19" s="49">
        <f t="shared" ref="E19:G19" si="4">ROUND(E18,0)</f>
        <v>1384</v>
      </c>
      <c r="F19" s="49">
        <f t="shared" si="4"/>
        <v>2372</v>
      </c>
      <c r="G19" s="49">
        <f t="shared" si="4"/>
        <v>3954</v>
      </c>
    </row>
    <row r="22" spans="3:8" x14ac:dyDescent="0.25">
      <c r="H22" s="44">
        <f>2399*854332</f>
        <v>2049542468</v>
      </c>
    </row>
    <row r="23" spans="3:8" x14ac:dyDescent="0.25">
      <c r="H23" s="45">
        <f>H22-(25%*H22)</f>
        <v>1537156851</v>
      </c>
    </row>
  </sheetData>
  <mergeCells count="4">
    <mergeCell ref="F9:H9"/>
    <mergeCell ref="F12:H12"/>
    <mergeCell ref="G10:H10"/>
    <mergeCell ref="G11:H11"/>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4:K27"/>
  <sheetViews>
    <sheetView tabSelected="1" workbookViewId="0">
      <selection activeCell="G16" sqref="G16:H16"/>
    </sheetView>
  </sheetViews>
  <sheetFormatPr defaultColWidth="9.140625" defaultRowHeight="15" x14ac:dyDescent="0.25"/>
  <cols>
    <col min="1" max="2" width="9.140625" style="7"/>
    <col min="3" max="3" width="42.7109375" style="7" customWidth="1"/>
    <col min="4" max="4" width="16" style="7" bestFit="1" customWidth="1"/>
    <col min="5" max="5" width="18" style="7" customWidth="1"/>
    <col min="6" max="6" width="0.28515625" style="7" hidden="1" customWidth="1"/>
    <col min="7" max="7" width="19.5703125" style="7" bestFit="1" customWidth="1"/>
    <col min="8" max="8" width="21.42578125" style="7" bestFit="1" customWidth="1"/>
    <col min="9" max="9" width="15.85546875" style="7" bestFit="1" customWidth="1"/>
    <col min="10" max="10" width="16.85546875" style="7" bestFit="1" customWidth="1"/>
    <col min="11" max="11" width="18.28515625" style="7" bestFit="1" customWidth="1"/>
    <col min="12" max="12" width="16.28515625" style="7" bestFit="1" customWidth="1"/>
    <col min="13" max="16384" width="9.140625" style="7"/>
  </cols>
  <sheetData>
    <row r="4" spans="3:11" x14ac:dyDescent="0.25">
      <c r="F4" s="7">
        <v>4046.85</v>
      </c>
    </row>
    <row r="5" spans="3:11" ht="15.75" x14ac:dyDescent="0.25">
      <c r="C5" s="41" t="s">
        <v>46</v>
      </c>
      <c r="D5" s="38" t="s">
        <v>34</v>
      </c>
      <c r="E5" s="38" t="s">
        <v>43</v>
      </c>
      <c r="F5" s="109" t="s">
        <v>70</v>
      </c>
      <c r="G5" s="110"/>
      <c r="H5" s="38" t="s">
        <v>45</v>
      </c>
    </row>
    <row r="6" spans="3:11" s="72" customFormat="1" ht="15.75" x14ac:dyDescent="0.25">
      <c r="C6" s="37" t="s">
        <v>72</v>
      </c>
      <c r="D6" s="71"/>
      <c r="E6" s="70">
        <f>E7/4046.85</f>
        <v>49.421154725280154</v>
      </c>
      <c r="F6" s="111">
        <f>300000/4046.85</f>
        <v>74.131732087920241</v>
      </c>
      <c r="G6" s="112"/>
      <c r="H6" s="43">
        <v>124</v>
      </c>
    </row>
    <row r="7" spans="3:11" ht="15.75" x14ac:dyDescent="0.25">
      <c r="C7" s="37" t="s">
        <v>35</v>
      </c>
      <c r="D7" s="42">
        <v>854332</v>
      </c>
      <c r="E7" s="70">
        <v>200000</v>
      </c>
      <c r="F7" s="111">
        <v>300000</v>
      </c>
      <c r="G7" s="112"/>
      <c r="H7" s="43">
        <f>D7-F7-E7</f>
        <v>354332</v>
      </c>
    </row>
    <row r="8" spans="3:11" ht="15.75" x14ac:dyDescent="0.25">
      <c r="C8" s="37" t="s">
        <v>36</v>
      </c>
      <c r="D8" s="67"/>
      <c r="E8" s="60">
        <f>G23</f>
        <v>2471</v>
      </c>
      <c r="F8" s="115">
        <f>E23</f>
        <v>1730</v>
      </c>
      <c r="G8" s="116"/>
      <c r="H8" s="66">
        <f>D23</f>
        <v>1236</v>
      </c>
      <c r="J8" s="20">
        <f>AVERAGE(F8:H8)</f>
        <v>1483</v>
      </c>
    </row>
    <row r="9" spans="3:11" ht="15.75" x14ac:dyDescent="0.25">
      <c r="C9" s="37" t="s">
        <v>41</v>
      </c>
      <c r="D9" s="67"/>
      <c r="E9" s="56">
        <f>E8*E7</f>
        <v>494200000</v>
      </c>
      <c r="F9" s="115">
        <f>F8*F7</f>
        <v>519000000</v>
      </c>
      <c r="G9" s="116"/>
      <c r="H9" s="66">
        <f t="shared" ref="H9" si="0">H8*H7</f>
        <v>437954352</v>
      </c>
      <c r="J9" s="20">
        <f>SUM(F9:H9)</f>
        <v>956954352</v>
      </c>
      <c r="K9" s="21">
        <f>J9/D7</f>
        <v>1120.1199908232397</v>
      </c>
    </row>
    <row r="10" spans="3:11" ht="15.75" x14ac:dyDescent="0.25">
      <c r="C10" s="37" t="s">
        <v>40</v>
      </c>
      <c r="D10" s="67"/>
      <c r="E10" s="67"/>
      <c r="F10" s="76">
        <f>SUM(E9:H9)</f>
        <v>1451154352</v>
      </c>
      <c r="G10" s="76"/>
      <c r="H10" s="76"/>
      <c r="I10" s="21">
        <f>F10/D7</f>
        <v>1698.5836325924815</v>
      </c>
      <c r="J10" s="21">
        <f>I10*4046.85</f>
        <v>6873913.1735568838</v>
      </c>
    </row>
    <row r="11" spans="3:11" ht="31.5" x14ac:dyDescent="0.25">
      <c r="C11" s="75" t="s">
        <v>76</v>
      </c>
      <c r="D11" s="67"/>
      <c r="E11" s="67"/>
      <c r="F11" s="66"/>
      <c r="G11" s="105">
        <v>-0.05</v>
      </c>
      <c r="H11" s="106"/>
      <c r="I11" s="21"/>
      <c r="J11" s="21"/>
    </row>
    <row r="12" spans="3:11" ht="15.75" x14ac:dyDescent="0.25">
      <c r="C12" s="37" t="s">
        <v>74</v>
      </c>
      <c r="D12" s="74"/>
      <c r="E12" s="74"/>
      <c r="F12" s="73"/>
      <c r="G12" s="105">
        <v>-0.05</v>
      </c>
      <c r="H12" s="106"/>
      <c r="I12" s="21"/>
      <c r="J12" s="21"/>
    </row>
    <row r="13" spans="3:11" ht="47.25" x14ac:dyDescent="0.25">
      <c r="C13" s="75" t="s">
        <v>75</v>
      </c>
      <c r="D13" s="74"/>
      <c r="E13" s="74"/>
      <c r="F13" s="73"/>
      <c r="G13" s="105">
        <v>0.05</v>
      </c>
      <c r="H13" s="106"/>
      <c r="I13" s="21"/>
      <c r="J13" s="21"/>
    </row>
    <row r="14" spans="3:11" ht="47.25" x14ac:dyDescent="0.25">
      <c r="C14" s="75" t="s">
        <v>77</v>
      </c>
      <c r="D14" s="74"/>
      <c r="E14" s="74"/>
      <c r="F14" s="73"/>
      <c r="G14" s="105">
        <v>-0.15</v>
      </c>
      <c r="H14" s="106"/>
      <c r="I14" s="21"/>
      <c r="J14" s="21"/>
    </row>
    <row r="15" spans="3:11" ht="15.75" x14ac:dyDescent="0.25">
      <c r="C15" s="37" t="s">
        <v>73</v>
      </c>
      <c r="D15" s="67"/>
      <c r="E15" s="67"/>
      <c r="F15" s="66"/>
      <c r="G15" s="105">
        <f>SUM(G11:H14)</f>
        <v>-0.2</v>
      </c>
      <c r="H15" s="106"/>
      <c r="I15" s="20"/>
    </row>
    <row r="16" spans="3:11" ht="15.75" x14ac:dyDescent="0.25">
      <c r="C16" s="37" t="s">
        <v>69</v>
      </c>
      <c r="D16" s="67"/>
      <c r="E16" s="67"/>
      <c r="F16" s="66"/>
      <c r="G16" s="117">
        <f>F10*(1+G15)</f>
        <v>1160923481.6000001</v>
      </c>
      <c r="H16" s="118"/>
      <c r="I16" s="20"/>
    </row>
    <row r="17" spans="3:11" ht="15.75" x14ac:dyDescent="0.25">
      <c r="C17" s="37" t="s">
        <v>42</v>
      </c>
      <c r="D17" s="67"/>
      <c r="E17" s="67"/>
      <c r="F17" s="77">
        <f>G16/D7</f>
        <v>1358.8669060739855</v>
      </c>
      <c r="G17" s="77"/>
      <c r="H17" s="77"/>
      <c r="I17" s="20">
        <f>F17*4046.85</f>
        <v>5499130.5388455084</v>
      </c>
      <c r="J17" s="65"/>
      <c r="K17" s="20">
        <f>I17-J17</f>
        <v>5499130.5388455084</v>
      </c>
    </row>
    <row r="19" spans="3:11" ht="15.75" x14ac:dyDescent="0.25">
      <c r="C19" s="38" t="s">
        <v>13</v>
      </c>
      <c r="D19" s="38" t="s">
        <v>66</v>
      </c>
      <c r="E19" s="109" t="s">
        <v>70</v>
      </c>
      <c r="F19" s="110"/>
      <c r="G19" s="38" t="s">
        <v>68</v>
      </c>
    </row>
    <row r="20" spans="3:11" x14ac:dyDescent="0.25">
      <c r="C20" s="67" t="s">
        <v>51</v>
      </c>
      <c r="D20" s="58">
        <v>5000000</v>
      </c>
      <c r="E20" s="113">
        <v>7000000</v>
      </c>
      <c r="F20" s="114"/>
      <c r="G20" s="61">
        <v>10000000</v>
      </c>
    </row>
    <row r="21" spans="3:11" hidden="1" x14ac:dyDescent="0.25">
      <c r="C21" s="67" t="s">
        <v>53</v>
      </c>
      <c r="D21" s="58">
        <f>D20/4046.85</f>
        <v>1235.5288681320039</v>
      </c>
      <c r="E21" s="113">
        <f>E20/4046.85</f>
        <v>1729.7404153848056</v>
      </c>
      <c r="F21" s="114">
        <f>F20/4046.85</f>
        <v>0</v>
      </c>
      <c r="G21" s="58">
        <f>G20/4046.85</f>
        <v>2471.0577362640079</v>
      </c>
    </row>
    <row r="22" spans="3:11" x14ac:dyDescent="0.25">
      <c r="C22" s="57" t="s">
        <v>71</v>
      </c>
      <c r="D22" s="49">
        <f>D21</f>
        <v>1235.5288681320039</v>
      </c>
      <c r="E22" s="113">
        <f t="shared" ref="E22:G22" si="1">E21</f>
        <v>1729.7404153848056</v>
      </c>
      <c r="F22" s="114">
        <f t="shared" si="1"/>
        <v>0</v>
      </c>
      <c r="G22" s="49">
        <f t="shared" si="1"/>
        <v>2471.0577362640079</v>
      </c>
    </row>
    <row r="23" spans="3:11" x14ac:dyDescent="0.25">
      <c r="C23" s="67" t="s">
        <v>54</v>
      </c>
      <c r="D23" s="49">
        <f>ROUND(D22,0)</f>
        <v>1236</v>
      </c>
      <c r="E23" s="113">
        <f>ROUND(E22,0)</f>
        <v>1730</v>
      </c>
      <c r="F23" s="114">
        <f>ROUND(F22,0)</f>
        <v>0</v>
      </c>
      <c r="G23" s="49">
        <f>ROUND(G22,0)</f>
        <v>2471</v>
      </c>
    </row>
    <row r="26" spans="3:11" x14ac:dyDescent="0.25">
      <c r="H26" s="44">
        <f>2399*854332</f>
        <v>2049542468</v>
      </c>
    </row>
    <row r="27" spans="3:11" x14ac:dyDescent="0.25">
      <c r="H27" s="45">
        <f>H26-(25%*H26)</f>
        <v>1537156851</v>
      </c>
    </row>
  </sheetData>
  <mergeCells count="18">
    <mergeCell ref="G14:H14"/>
    <mergeCell ref="G12:H12"/>
    <mergeCell ref="F5:G5"/>
    <mergeCell ref="F6:G6"/>
    <mergeCell ref="G11:H11"/>
    <mergeCell ref="E22:F22"/>
    <mergeCell ref="E23:F23"/>
    <mergeCell ref="E19:F19"/>
    <mergeCell ref="F7:G7"/>
    <mergeCell ref="F8:G8"/>
    <mergeCell ref="F9:G9"/>
    <mergeCell ref="F10:H10"/>
    <mergeCell ref="G15:H15"/>
    <mergeCell ref="G16:H16"/>
    <mergeCell ref="F17:H17"/>
    <mergeCell ref="E20:F20"/>
    <mergeCell ref="E21:F21"/>
    <mergeCell ref="G13:H13"/>
  </mergeCell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4:K25"/>
  <sheetViews>
    <sheetView workbookViewId="0">
      <selection activeCell="G14" sqref="G14:H14"/>
    </sheetView>
  </sheetViews>
  <sheetFormatPr defaultColWidth="9.140625" defaultRowHeight="15" x14ac:dyDescent="0.25"/>
  <cols>
    <col min="1" max="2" width="9.140625" style="7"/>
    <col min="3" max="3" width="31.42578125" style="7" bestFit="1" customWidth="1"/>
    <col min="4" max="4" width="16" style="7" bestFit="1" customWidth="1"/>
    <col min="5" max="5" width="18.28515625" style="7" bestFit="1" customWidth="1"/>
    <col min="6" max="6" width="23.7109375" style="7" bestFit="1" customWidth="1"/>
    <col min="7" max="7" width="19.5703125" style="7" bestFit="1" customWidth="1"/>
    <col min="8" max="8" width="21.42578125" style="7" bestFit="1" customWidth="1"/>
    <col min="9" max="9" width="15.85546875" style="7" bestFit="1" customWidth="1"/>
    <col min="10" max="10" width="16.85546875" style="7" bestFit="1" customWidth="1"/>
    <col min="11" max="11" width="18.28515625" style="7" bestFit="1" customWidth="1"/>
    <col min="12" max="12" width="16.28515625" style="7" bestFit="1" customWidth="1"/>
    <col min="13" max="16384" width="9.140625" style="7"/>
  </cols>
  <sheetData>
    <row r="4" spans="3:11" x14ac:dyDescent="0.25">
      <c r="F4" s="7">
        <v>4046.85</v>
      </c>
    </row>
    <row r="5" spans="3:11" ht="15.75" x14ac:dyDescent="0.25">
      <c r="C5" s="41" t="s">
        <v>46</v>
      </c>
      <c r="D5" s="38" t="s">
        <v>34</v>
      </c>
      <c r="E5" s="38" t="s">
        <v>43</v>
      </c>
      <c r="F5" s="109" t="s">
        <v>70</v>
      </c>
      <c r="G5" s="110"/>
      <c r="H5" s="38" t="s">
        <v>45</v>
      </c>
    </row>
    <row r="6" spans="3:11" s="72" customFormat="1" ht="15.75" x14ac:dyDescent="0.25">
      <c r="C6" s="37" t="s">
        <v>72</v>
      </c>
      <c r="D6" s="71"/>
      <c r="E6" s="70">
        <v>25</v>
      </c>
      <c r="F6" s="111">
        <v>100</v>
      </c>
      <c r="G6" s="112"/>
      <c r="H6" s="43">
        <f>211-F6-E6</f>
        <v>86</v>
      </c>
    </row>
    <row r="7" spans="3:11" ht="15.75" x14ac:dyDescent="0.25">
      <c r="C7" s="37" t="s">
        <v>35</v>
      </c>
      <c r="D7" s="42">
        <v>854332</v>
      </c>
      <c r="E7" s="70">
        <f>E6*4046.85</f>
        <v>101171.25</v>
      </c>
      <c r="F7" s="111">
        <f>F6*4046.85</f>
        <v>404685</v>
      </c>
      <c r="G7" s="112"/>
      <c r="H7" s="43">
        <f>H6*4046.85</f>
        <v>348029.1</v>
      </c>
    </row>
    <row r="8" spans="3:11" ht="15.75" x14ac:dyDescent="0.25">
      <c r="C8" s="37" t="s">
        <v>36</v>
      </c>
      <c r="D8" s="67"/>
      <c r="E8" s="60">
        <f>G21</f>
        <v>2471</v>
      </c>
      <c r="F8" s="115">
        <f>E21</f>
        <v>1483</v>
      </c>
      <c r="G8" s="116"/>
      <c r="H8" s="66">
        <f>D21</f>
        <v>988</v>
      </c>
      <c r="J8" s="20">
        <f>AVERAGE(F8:H8)</f>
        <v>1235.5</v>
      </c>
    </row>
    <row r="9" spans="3:11" ht="15.75" x14ac:dyDescent="0.25">
      <c r="C9" s="37" t="s">
        <v>41</v>
      </c>
      <c r="D9" s="67"/>
      <c r="E9" s="56">
        <f>E8*E7</f>
        <v>249994158.75</v>
      </c>
      <c r="F9" s="115">
        <f>F8*F7</f>
        <v>600147855</v>
      </c>
      <c r="G9" s="116"/>
      <c r="H9" s="66">
        <f t="shared" ref="H9" si="0">H8*H7</f>
        <v>343852750.79999995</v>
      </c>
      <c r="J9" s="20">
        <f>SUM(F9:H9)</f>
        <v>944000605.79999995</v>
      </c>
      <c r="K9" s="21">
        <f>J9/D7</f>
        <v>1104.9575642724374</v>
      </c>
    </row>
    <row r="10" spans="3:11" ht="15.75" x14ac:dyDescent="0.25">
      <c r="C10" s="37" t="s">
        <v>40</v>
      </c>
      <c r="D10" s="67"/>
      <c r="E10" s="67"/>
      <c r="F10" s="76">
        <f>SUM(E9:H9)</f>
        <v>1193994764.55</v>
      </c>
      <c r="G10" s="76"/>
      <c r="H10" s="76"/>
      <c r="I10" s="21">
        <f>F10/D7</f>
        <v>1397.5770128591694</v>
      </c>
      <c r="J10" s="21">
        <f>I10*4046.85</f>
        <v>5655784.5344891297</v>
      </c>
    </row>
    <row r="11" spans="3:11" ht="15.75" x14ac:dyDescent="0.25">
      <c r="C11" s="37"/>
      <c r="D11" s="67"/>
      <c r="E11" s="67"/>
      <c r="F11" s="66"/>
      <c r="G11" s="68"/>
      <c r="H11" s="69"/>
      <c r="I11" s="21"/>
      <c r="J11" s="21"/>
    </row>
    <row r="12" spans="3:11" ht="15.75" x14ac:dyDescent="0.25">
      <c r="C12" s="37"/>
      <c r="D12" s="67"/>
      <c r="E12" s="67"/>
      <c r="F12" s="66"/>
      <c r="G12" s="68"/>
      <c r="H12" s="69"/>
      <c r="I12" s="21"/>
      <c r="J12" s="21"/>
    </row>
    <row r="13" spans="3:11" ht="15.75" x14ac:dyDescent="0.25">
      <c r="C13" s="37" t="s">
        <v>63</v>
      </c>
      <c r="D13" s="67"/>
      <c r="E13" s="67"/>
      <c r="F13" s="66"/>
      <c r="G13" s="105">
        <v>0.2</v>
      </c>
      <c r="H13" s="106"/>
      <c r="I13" s="20"/>
    </row>
    <row r="14" spans="3:11" ht="15.75" x14ac:dyDescent="0.25">
      <c r="C14" s="37" t="s">
        <v>69</v>
      </c>
      <c r="D14" s="67"/>
      <c r="E14" s="67"/>
      <c r="F14" s="66"/>
      <c r="G14" s="107">
        <f>F10*(1-G13)</f>
        <v>955195811.63999999</v>
      </c>
      <c r="H14" s="108"/>
      <c r="I14" s="20"/>
    </row>
    <row r="15" spans="3:11" ht="15.75" x14ac:dyDescent="0.25">
      <c r="C15" s="37" t="s">
        <v>42</v>
      </c>
      <c r="D15" s="67"/>
      <c r="E15" s="67"/>
      <c r="F15" s="77">
        <f>F10/D7</f>
        <v>1397.5770128591694</v>
      </c>
      <c r="G15" s="77"/>
      <c r="H15" s="77"/>
      <c r="I15" s="20">
        <f>F10+670000000</f>
        <v>1863994764.55</v>
      </c>
      <c r="J15" s="65">
        <f>142*10000000</f>
        <v>1420000000</v>
      </c>
      <c r="K15" s="20">
        <f>I15-J15</f>
        <v>443994764.54999995</v>
      </c>
    </row>
    <row r="17" spans="3:8" ht="15.75" x14ac:dyDescent="0.25">
      <c r="C17" s="38" t="s">
        <v>13</v>
      </c>
      <c r="D17" s="38" t="s">
        <v>66</v>
      </c>
      <c r="E17" s="109" t="s">
        <v>70</v>
      </c>
      <c r="F17" s="110"/>
      <c r="G17" s="38" t="s">
        <v>68</v>
      </c>
    </row>
    <row r="18" spans="3:8" x14ac:dyDescent="0.25">
      <c r="C18" s="67" t="s">
        <v>51</v>
      </c>
      <c r="D18" s="58">
        <v>4000000</v>
      </c>
      <c r="E18" s="113">
        <v>6000000</v>
      </c>
      <c r="F18" s="114"/>
      <c r="G18" s="61">
        <v>10000000</v>
      </c>
    </row>
    <row r="19" spans="3:8" hidden="1" x14ac:dyDescent="0.25">
      <c r="C19" s="67" t="s">
        <v>53</v>
      </c>
      <c r="D19" s="58">
        <f>D18/4046.85</f>
        <v>988.4230945056031</v>
      </c>
      <c r="E19" s="113">
        <f>E18/4046.85</f>
        <v>1482.6346417584048</v>
      </c>
      <c r="F19" s="114">
        <f>F18/4046.85</f>
        <v>0</v>
      </c>
      <c r="G19" s="58">
        <f>G18/4046.85</f>
        <v>2471.0577362640079</v>
      </c>
    </row>
    <row r="20" spans="3:8" x14ac:dyDescent="0.25">
      <c r="C20" s="57" t="s">
        <v>71</v>
      </c>
      <c r="D20" s="49">
        <f>D19</f>
        <v>988.4230945056031</v>
      </c>
      <c r="E20" s="113">
        <f t="shared" ref="E20:G20" si="1">E19</f>
        <v>1482.6346417584048</v>
      </c>
      <c r="F20" s="114">
        <f t="shared" si="1"/>
        <v>0</v>
      </c>
      <c r="G20" s="49">
        <f t="shared" si="1"/>
        <v>2471.0577362640079</v>
      </c>
    </row>
    <row r="21" spans="3:8" x14ac:dyDescent="0.25">
      <c r="C21" s="67" t="s">
        <v>54</v>
      </c>
      <c r="D21" s="49">
        <f>ROUND(D20,0)</f>
        <v>988</v>
      </c>
      <c r="E21" s="113">
        <f>ROUND(E20,0)</f>
        <v>1483</v>
      </c>
      <c r="F21" s="114">
        <f>ROUND(F20,0)</f>
        <v>0</v>
      </c>
      <c r="G21" s="49">
        <f>ROUND(G20,0)</f>
        <v>2471</v>
      </c>
    </row>
    <row r="24" spans="3:8" x14ac:dyDescent="0.25">
      <c r="H24" s="44">
        <f>2399*854332</f>
        <v>2049542468</v>
      </c>
    </row>
    <row r="25" spans="3:8" x14ac:dyDescent="0.25">
      <c r="H25" s="45">
        <f>H24-(25%*H24)</f>
        <v>1537156851</v>
      </c>
    </row>
  </sheetData>
  <mergeCells count="14">
    <mergeCell ref="F10:H10"/>
    <mergeCell ref="F5:G5"/>
    <mergeCell ref="F6:G6"/>
    <mergeCell ref="F7:G7"/>
    <mergeCell ref="F8:G8"/>
    <mergeCell ref="F9:G9"/>
    <mergeCell ref="E20:F20"/>
    <mergeCell ref="E21:F21"/>
    <mergeCell ref="G13:H13"/>
    <mergeCell ref="G14:H14"/>
    <mergeCell ref="F15:H15"/>
    <mergeCell ref="E17:F17"/>
    <mergeCell ref="E18:F18"/>
    <mergeCell ref="E19:F19"/>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Belting</vt:lpstr>
      <vt:lpstr>Dashboard</vt:lpstr>
      <vt:lpstr>Valuation LDM</vt:lpstr>
      <vt:lpstr>Belting alternative Value</vt:lpstr>
      <vt:lpstr>Revised</vt:lpstr>
      <vt:lpstr>Sheet2</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gaurav sharma</dc:creator>
  <cp:lastModifiedBy>Abhishek Sharma</cp:lastModifiedBy>
  <cp:lastPrinted>2019-12-27T06:53:44Z</cp:lastPrinted>
  <dcterms:created xsi:type="dcterms:W3CDTF">2019-09-02T06:45:51Z</dcterms:created>
  <dcterms:modified xsi:type="dcterms:W3CDTF">2022-07-25T09:26:30Z</dcterms:modified>
</cp:coreProperties>
</file>