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ngineer11\Desktop\ongoing files\JK TYRE\REPORT\"/>
    </mc:Choice>
  </mc:AlternateContent>
  <bookViews>
    <workbookView xWindow="0" yWindow="0" windowWidth="24000" windowHeight="9735" firstSheet="3" activeTab="8"/>
  </bookViews>
  <sheets>
    <sheet name="Land" sheetId="14" r:id="rId1"/>
    <sheet name="BD SHEET FROM COMPANY" sheetId="28" r:id="rId2"/>
    <sheet name="Sheet3" sheetId="30" r:id="rId3"/>
    <sheet name="building rates" sheetId="24" r:id="rId4"/>
    <sheet name="building valuation" sheetId="26" r:id="rId5"/>
    <sheet name="BD-2" sheetId="29" r:id="rId6"/>
    <sheet name="Ancillary details" sheetId="23" r:id="rId7"/>
    <sheet name="ancillary infra valuation" sheetId="27" r:id="rId8"/>
    <sheet name="Remarks" sheetId="11" r:id="rId9"/>
  </sheets>
  <externalReferences>
    <externalReference r:id="rId10"/>
  </externalReferences>
  <definedNames>
    <definedName name="_xlnm._FilterDatabase" localSheetId="5" hidden="1">'BD-2'!$A$5:$X$131</definedName>
    <definedName name="_xlnm._FilterDatabase" localSheetId="3" hidden="1">'building rates'!$A$29:$H$54</definedName>
    <definedName name="_xlnm._FilterDatabase" localSheetId="4" hidden="1">'building valuation'!$A$4:$W$132</definedName>
  </definedNames>
  <calcPr calcId="152511"/>
  <pivotCaches>
    <pivotCache cacheId="0"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1" i="27" l="1"/>
  <c r="C4" i="27"/>
  <c r="O121" i="29"/>
  <c r="O118" i="29"/>
  <c r="O117" i="29"/>
  <c r="O111" i="29"/>
  <c r="O108" i="29"/>
  <c r="O105" i="29"/>
  <c r="O101" i="29"/>
  <c r="O100" i="29"/>
  <c r="O99" i="29"/>
  <c r="O93" i="29"/>
  <c r="O92" i="29"/>
  <c r="O91" i="29"/>
  <c r="O88" i="29"/>
  <c r="O87" i="29"/>
  <c r="O75" i="29"/>
  <c r="O73" i="29"/>
  <c r="O72" i="29"/>
  <c r="O65" i="29"/>
  <c r="O63" i="29"/>
  <c r="O61" i="29"/>
  <c r="O121" i="26"/>
  <c r="H33" i="29"/>
  <c r="H34" i="29"/>
  <c r="H35" i="29"/>
  <c r="H36" i="29"/>
  <c r="H37" i="29"/>
  <c r="H38" i="29"/>
  <c r="I38" i="29" s="1"/>
  <c r="E9" i="27"/>
  <c r="E10" i="27"/>
  <c r="H10" i="27" s="1"/>
  <c r="E32" i="24"/>
  <c r="E33" i="24"/>
  <c r="E34" i="24"/>
  <c r="E35" i="24"/>
  <c r="E36" i="24"/>
  <c r="E37" i="24"/>
  <c r="E38" i="24"/>
  <c r="F38" i="24" s="1"/>
  <c r="G38" i="24" s="1"/>
  <c r="H38" i="24" s="1"/>
  <c r="E39" i="24"/>
  <c r="F39" i="24" s="1"/>
  <c r="G39" i="24" s="1"/>
  <c r="H39" i="24" s="1"/>
  <c r="P19" i="29" s="1"/>
  <c r="Q19" i="29" s="1"/>
  <c r="E40" i="24"/>
  <c r="E41" i="24"/>
  <c r="E42" i="24"/>
  <c r="F42" i="24" s="1"/>
  <c r="G42" i="24" s="1"/>
  <c r="H42" i="24" s="1"/>
  <c r="E43" i="24"/>
  <c r="F43" i="24" s="1"/>
  <c r="G43" i="24" s="1"/>
  <c r="H43" i="24" s="1"/>
  <c r="Q36" i="29" s="1"/>
  <c r="E31" i="24"/>
  <c r="O95" i="29"/>
  <c r="O94" i="29"/>
  <c r="O89" i="29"/>
  <c r="E137" i="29"/>
  <c r="E138" i="29" s="1"/>
  <c r="E139" i="29" s="1"/>
  <c r="G136" i="29"/>
  <c r="O125" i="29"/>
  <c r="J125" i="29"/>
  <c r="L125" i="29" s="1"/>
  <c r="I125" i="29"/>
  <c r="H125" i="29"/>
  <c r="G125" i="29"/>
  <c r="E125" i="29"/>
  <c r="B125" i="29"/>
  <c r="O124" i="29"/>
  <c r="L124" i="29"/>
  <c r="J124" i="29"/>
  <c r="I124" i="29"/>
  <c r="H124" i="29"/>
  <c r="G124" i="29"/>
  <c r="E124" i="29"/>
  <c r="B124" i="29"/>
  <c r="O123" i="29"/>
  <c r="L123" i="29"/>
  <c r="J123" i="29"/>
  <c r="I123" i="29"/>
  <c r="H123" i="29"/>
  <c r="G123" i="29"/>
  <c r="E123" i="29"/>
  <c r="B123" i="29"/>
  <c r="O122" i="29"/>
  <c r="L122" i="29"/>
  <c r="J122" i="29"/>
  <c r="I122" i="29"/>
  <c r="H122" i="29"/>
  <c r="G122" i="29"/>
  <c r="E122" i="29"/>
  <c r="B122" i="29"/>
  <c r="L121" i="29"/>
  <c r="J121" i="29"/>
  <c r="I121" i="29"/>
  <c r="H121" i="29"/>
  <c r="E121" i="29"/>
  <c r="G121" i="29" s="1"/>
  <c r="B121" i="29"/>
  <c r="O120" i="29"/>
  <c r="L120" i="29"/>
  <c r="J120" i="29"/>
  <c r="H120" i="29"/>
  <c r="G120" i="29"/>
  <c r="E120" i="29"/>
  <c r="B120" i="29"/>
  <c r="O119" i="29"/>
  <c r="J119" i="29"/>
  <c r="L119" i="29" s="1"/>
  <c r="I119" i="29"/>
  <c r="H119" i="29"/>
  <c r="G119" i="29"/>
  <c r="E119" i="29"/>
  <c r="B119" i="29"/>
  <c r="J118" i="29"/>
  <c r="L118" i="29" s="1"/>
  <c r="H118" i="29"/>
  <c r="E118" i="29"/>
  <c r="G118" i="29" s="1"/>
  <c r="B118" i="29"/>
  <c r="L117" i="29"/>
  <c r="J117" i="29"/>
  <c r="I117" i="29"/>
  <c r="H117" i="29"/>
  <c r="P117" i="29" s="1"/>
  <c r="Q117" i="29" s="1"/>
  <c r="G117" i="29"/>
  <c r="E117" i="29"/>
  <c r="B117" i="29"/>
  <c r="O116" i="29"/>
  <c r="L116" i="29"/>
  <c r="J116" i="29"/>
  <c r="I116" i="29"/>
  <c r="H116" i="29"/>
  <c r="G116" i="29"/>
  <c r="E116" i="29"/>
  <c r="B116" i="29"/>
  <c r="O115" i="29"/>
  <c r="L115" i="29"/>
  <c r="J115" i="29"/>
  <c r="I115" i="29"/>
  <c r="H115" i="29"/>
  <c r="G115" i="29"/>
  <c r="E115" i="29"/>
  <c r="B115" i="29"/>
  <c r="O114" i="29"/>
  <c r="L114" i="29"/>
  <c r="J114" i="29"/>
  <c r="I114" i="29"/>
  <c r="H114" i="29"/>
  <c r="E114" i="29"/>
  <c r="G114" i="29" s="1"/>
  <c r="B114" i="29"/>
  <c r="O113" i="29"/>
  <c r="L113" i="29"/>
  <c r="J113" i="29"/>
  <c r="H113" i="29"/>
  <c r="P113" i="29" s="1"/>
  <c r="Q113" i="29" s="1"/>
  <c r="G113" i="29"/>
  <c r="E113" i="29"/>
  <c r="B113" i="29"/>
  <c r="O112" i="29"/>
  <c r="J112" i="29"/>
  <c r="L112" i="29" s="1"/>
  <c r="I112" i="29"/>
  <c r="H112" i="29"/>
  <c r="P112" i="29" s="1"/>
  <c r="Q112" i="29" s="1"/>
  <c r="G112" i="29"/>
  <c r="E112" i="29"/>
  <c r="B112" i="29"/>
  <c r="J111" i="29"/>
  <c r="L111" i="29" s="1"/>
  <c r="H111" i="29"/>
  <c r="E111" i="29"/>
  <c r="G111" i="29" s="1"/>
  <c r="B111" i="29"/>
  <c r="O110" i="29"/>
  <c r="J110" i="29"/>
  <c r="L110" i="29" s="1"/>
  <c r="H110" i="29"/>
  <c r="G110" i="29"/>
  <c r="E110" i="29"/>
  <c r="B110" i="29"/>
  <c r="O109" i="29"/>
  <c r="J109" i="29"/>
  <c r="L109" i="29" s="1"/>
  <c r="I109" i="29"/>
  <c r="H109" i="29"/>
  <c r="G109" i="29"/>
  <c r="E109" i="29"/>
  <c r="B109" i="29"/>
  <c r="P108" i="29"/>
  <c r="Q108" i="29" s="1"/>
  <c r="L108" i="29"/>
  <c r="J108" i="29"/>
  <c r="H108" i="29"/>
  <c r="I108" i="29" s="1"/>
  <c r="E108" i="29"/>
  <c r="G108" i="29" s="1"/>
  <c r="B108" i="29"/>
  <c r="O107" i="29"/>
  <c r="J107" i="29"/>
  <c r="L107" i="29" s="1"/>
  <c r="H107" i="29"/>
  <c r="I107" i="29" s="1"/>
  <c r="E107" i="29"/>
  <c r="G107" i="29" s="1"/>
  <c r="B107" i="29"/>
  <c r="O106" i="29"/>
  <c r="J106" i="29"/>
  <c r="L106" i="29" s="1"/>
  <c r="H106" i="29"/>
  <c r="E106" i="29"/>
  <c r="G106" i="29" s="1"/>
  <c r="B106" i="29"/>
  <c r="J105" i="29"/>
  <c r="L105" i="29" s="1"/>
  <c r="H105" i="29"/>
  <c r="P105" i="29" s="1"/>
  <c r="E105" i="29"/>
  <c r="G105" i="29" s="1"/>
  <c r="B105" i="29"/>
  <c r="O104" i="29"/>
  <c r="J104" i="29"/>
  <c r="L104" i="29" s="1"/>
  <c r="H104" i="29"/>
  <c r="E104" i="29"/>
  <c r="G104" i="29" s="1"/>
  <c r="B104" i="29"/>
  <c r="O103" i="29"/>
  <c r="J103" i="29"/>
  <c r="L103" i="29" s="1"/>
  <c r="H103" i="29"/>
  <c r="G103" i="29"/>
  <c r="E103" i="29"/>
  <c r="B103" i="29"/>
  <c r="O102" i="29"/>
  <c r="J102" i="29"/>
  <c r="L102" i="29" s="1"/>
  <c r="I102" i="29"/>
  <c r="H102" i="29"/>
  <c r="G102" i="29"/>
  <c r="E102" i="29"/>
  <c r="B102" i="29"/>
  <c r="P101" i="29"/>
  <c r="Q101" i="29" s="1"/>
  <c r="L101" i="29"/>
  <c r="J101" i="29"/>
  <c r="H101" i="29"/>
  <c r="I101" i="29" s="1"/>
  <c r="E101" i="29"/>
  <c r="G101" i="29" s="1"/>
  <c r="B101" i="29"/>
  <c r="P100" i="29"/>
  <c r="Q100" i="29" s="1"/>
  <c r="L100" i="29"/>
  <c r="J100" i="29"/>
  <c r="I100" i="29"/>
  <c r="H100" i="29"/>
  <c r="E100" i="29"/>
  <c r="G100" i="29" s="1"/>
  <c r="B100" i="29"/>
  <c r="P99" i="29"/>
  <c r="Q99" i="29" s="1"/>
  <c r="J99" i="29"/>
  <c r="L99" i="29" s="1"/>
  <c r="H99" i="29"/>
  <c r="I99" i="29" s="1"/>
  <c r="E99" i="29"/>
  <c r="G99" i="29" s="1"/>
  <c r="B99" i="29"/>
  <c r="O98" i="29"/>
  <c r="J98" i="29"/>
  <c r="L98" i="29" s="1"/>
  <c r="H98" i="29"/>
  <c r="P98" i="29" s="1"/>
  <c r="Q98" i="29" s="1"/>
  <c r="E98" i="29"/>
  <c r="G98" i="29" s="1"/>
  <c r="B98" i="29"/>
  <c r="O97" i="29"/>
  <c r="J97" i="29"/>
  <c r="L97" i="29" s="1"/>
  <c r="H97" i="29"/>
  <c r="P97" i="29" s="1"/>
  <c r="Q97" i="29" s="1"/>
  <c r="G97" i="29"/>
  <c r="E97" i="29"/>
  <c r="B97" i="29"/>
  <c r="O96" i="29"/>
  <c r="J96" i="29"/>
  <c r="L96" i="29" s="1"/>
  <c r="I96" i="29"/>
  <c r="H96" i="29"/>
  <c r="G96" i="29"/>
  <c r="E96" i="29"/>
  <c r="B96" i="29"/>
  <c r="J95" i="29"/>
  <c r="L95" i="29" s="1"/>
  <c r="I95" i="29"/>
  <c r="H95" i="29"/>
  <c r="G95" i="29"/>
  <c r="F95" i="29"/>
  <c r="Q95" i="29" s="1"/>
  <c r="E95" i="29"/>
  <c r="B95" i="29"/>
  <c r="Q94" i="29"/>
  <c r="J94" i="29"/>
  <c r="L94" i="29" s="1"/>
  <c r="H94" i="29"/>
  <c r="I94" i="29" s="1"/>
  <c r="G94" i="29"/>
  <c r="F94" i="29"/>
  <c r="E94" i="29"/>
  <c r="B94" i="29"/>
  <c r="P93" i="29"/>
  <c r="Q93" i="29" s="1"/>
  <c r="J93" i="29"/>
  <c r="L93" i="29" s="1"/>
  <c r="I93" i="29"/>
  <c r="H93" i="29"/>
  <c r="E93" i="29"/>
  <c r="G93" i="29" s="1"/>
  <c r="B93" i="29"/>
  <c r="P92" i="29"/>
  <c r="Q92" i="29" s="1"/>
  <c r="L92" i="29"/>
  <c r="J92" i="29"/>
  <c r="H92" i="29"/>
  <c r="I92" i="29" s="1"/>
  <c r="G92" i="29"/>
  <c r="E92" i="29"/>
  <c r="B92" i="29"/>
  <c r="P91" i="29"/>
  <c r="Q91" i="29" s="1"/>
  <c r="L91" i="29"/>
  <c r="J91" i="29"/>
  <c r="I91" i="29"/>
  <c r="H91" i="29"/>
  <c r="E91" i="29"/>
  <c r="G91" i="29" s="1"/>
  <c r="B91" i="29"/>
  <c r="O90" i="29"/>
  <c r="L90" i="29"/>
  <c r="J90" i="29"/>
  <c r="H90" i="29"/>
  <c r="I90" i="29" s="1"/>
  <c r="E90" i="29"/>
  <c r="G90" i="29" s="1"/>
  <c r="B90" i="29"/>
  <c r="L89" i="29"/>
  <c r="J89" i="29"/>
  <c r="H89" i="29"/>
  <c r="I89" i="29" s="1"/>
  <c r="F89" i="29"/>
  <c r="Q89" i="29" s="1"/>
  <c r="E89" i="29"/>
  <c r="G89" i="29" s="1"/>
  <c r="B89" i="29"/>
  <c r="J88" i="29"/>
  <c r="L88" i="29" s="1"/>
  <c r="H88" i="29"/>
  <c r="P88" i="29" s="1"/>
  <c r="E88" i="29"/>
  <c r="G88" i="29" s="1"/>
  <c r="B88" i="29"/>
  <c r="J87" i="29"/>
  <c r="L87" i="29" s="1"/>
  <c r="H87" i="29"/>
  <c r="I87" i="29" s="1"/>
  <c r="E87" i="29"/>
  <c r="B87" i="29"/>
  <c r="O86" i="29"/>
  <c r="J86" i="29"/>
  <c r="L86" i="29" s="1"/>
  <c r="H86" i="29"/>
  <c r="I86" i="29" s="1"/>
  <c r="G86" i="29"/>
  <c r="F86" i="29"/>
  <c r="Q86" i="29" s="1"/>
  <c r="E86" i="29"/>
  <c r="B86" i="29"/>
  <c r="O85" i="29"/>
  <c r="J85" i="29"/>
  <c r="L85" i="29" s="1"/>
  <c r="I85" i="29"/>
  <c r="H85" i="29"/>
  <c r="G85" i="29"/>
  <c r="F85" i="29"/>
  <c r="Q85" i="29" s="1"/>
  <c r="E85" i="29"/>
  <c r="B85" i="29"/>
  <c r="O84" i="29"/>
  <c r="J84" i="29"/>
  <c r="L84" i="29" s="1"/>
  <c r="I84" i="29"/>
  <c r="H84" i="29"/>
  <c r="G84" i="29"/>
  <c r="E84" i="29"/>
  <c r="B84" i="29"/>
  <c r="P83" i="29"/>
  <c r="Q83" i="29" s="1"/>
  <c r="O83" i="29"/>
  <c r="L83" i="29"/>
  <c r="J83" i="29"/>
  <c r="I83" i="29"/>
  <c r="H83" i="29"/>
  <c r="G83" i="29"/>
  <c r="E83" i="29"/>
  <c r="B83" i="29"/>
  <c r="P82" i="29"/>
  <c r="Q82" i="29" s="1"/>
  <c r="O82" i="29"/>
  <c r="L82" i="29"/>
  <c r="J82" i="29"/>
  <c r="I82" i="29"/>
  <c r="H82" i="29"/>
  <c r="E82" i="29"/>
  <c r="G82" i="29" s="1"/>
  <c r="B82" i="29"/>
  <c r="O81" i="29"/>
  <c r="L81" i="29"/>
  <c r="J81" i="29"/>
  <c r="H81" i="29"/>
  <c r="P81" i="29" s="1"/>
  <c r="Q81" i="29" s="1"/>
  <c r="E81" i="29"/>
  <c r="G81" i="29" s="1"/>
  <c r="B81" i="29"/>
  <c r="O80" i="29"/>
  <c r="J80" i="29"/>
  <c r="L80" i="29" s="1"/>
  <c r="H80" i="29"/>
  <c r="E80" i="29"/>
  <c r="G80" i="29" s="1"/>
  <c r="B80" i="29"/>
  <c r="O79" i="29"/>
  <c r="J79" i="29"/>
  <c r="L79" i="29" s="1"/>
  <c r="H79" i="29"/>
  <c r="G79" i="29"/>
  <c r="E79" i="29"/>
  <c r="B79" i="29"/>
  <c r="O78" i="29"/>
  <c r="J78" i="29"/>
  <c r="L78" i="29" s="1"/>
  <c r="I78" i="29"/>
  <c r="H78" i="29"/>
  <c r="G78" i="29"/>
  <c r="E78" i="29"/>
  <c r="B78" i="29"/>
  <c r="P77" i="29"/>
  <c r="Q77" i="29" s="1"/>
  <c r="O77" i="29"/>
  <c r="L77" i="29"/>
  <c r="J77" i="29"/>
  <c r="I77" i="29"/>
  <c r="H77" i="29"/>
  <c r="G77" i="29"/>
  <c r="E77" i="29"/>
  <c r="B77" i="29"/>
  <c r="P76" i="29"/>
  <c r="Q76" i="29" s="1"/>
  <c r="O76" i="29"/>
  <c r="L76" i="29"/>
  <c r="J76" i="29"/>
  <c r="I76" i="29"/>
  <c r="H76" i="29"/>
  <c r="E76" i="29"/>
  <c r="G76" i="29" s="1"/>
  <c r="B76" i="29"/>
  <c r="P75" i="29"/>
  <c r="Q75" i="29" s="1"/>
  <c r="J75" i="29"/>
  <c r="L75" i="29" s="1"/>
  <c r="H75" i="29"/>
  <c r="I75" i="29" s="1"/>
  <c r="E75" i="29"/>
  <c r="G75" i="29" s="1"/>
  <c r="B75" i="29"/>
  <c r="O74" i="29"/>
  <c r="J74" i="29"/>
  <c r="L74" i="29" s="1"/>
  <c r="H74" i="29"/>
  <c r="G74" i="29"/>
  <c r="E74" i="29"/>
  <c r="B74" i="29"/>
  <c r="J73" i="29"/>
  <c r="L73" i="29" s="1"/>
  <c r="H73" i="29"/>
  <c r="E73" i="29"/>
  <c r="G73" i="29" s="1"/>
  <c r="B73" i="29"/>
  <c r="J72" i="29"/>
  <c r="L72" i="29" s="1"/>
  <c r="I72" i="29"/>
  <c r="H72" i="29"/>
  <c r="P72" i="29" s="1"/>
  <c r="Q72" i="29" s="1"/>
  <c r="G72" i="29"/>
  <c r="E72" i="29"/>
  <c r="B72" i="29"/>
  <c r="O71" i="29"/>
  <c r="L71" i="29"/>
  <c r="J71" i="29"/>
  <c r="I71" i="29"/>
  <c r="H71" i="29"/>
  <c r="P71" i="29" s="1"/>
  <c r="Q71" i="29" s="1"/>
  <c r="E71" i="29"/>
  <c r="G71" i="29" s="1"/>
  <c r="B71" i="29"/>
  <c r="O70" i="29"/>
  <c r="L70" i="29"/>
  <c r="J70" i="29"/>
  <c r="H70" i="29"/>
  <c r="I70" i="29" s="1"/>
  <c r="E70" i="29"/>
  <c r="G70" i="29" s="1"/>
  <c r="B70" i="29"/>
  <c r="O69" i="29"/>
  <c r="J69" i="29"/>
  <c r="L69" i="29" s="1"/>
  <c r="H69" i="29"/>
  <c r="I69" i="29" s="1"/>
  <c r="E69" i="29"/>
  <c r="G69" i="29" s="1"/>
  <c r="B69" i="29"/>
  <c r="O68" i="29"/>
  <c r="J68" i="29"/>
  <c r="L68" i="29" s="1"/>
  <c r="H68" i="29"/>
  <c r="E68" i="29"/>
  <c r="G68" i="29" s="1"/>
  <c r="B68" i="29"/>
  <c r="O67" i="29"/>
  <c r="J67" i="29"/>
  <c r="L67" i="29" s="1"/>
  <c r="H67" i="29"/>
  <c r="G67" i="29"/>
  <c r="E67" i="29"/>
  <c r="B67" i="29"/>
  <c r="O66" i="29"/>
  <c r="J66" i="29"/>
  <c r="L66" i="29" s="1"/>
  <c r="I66" i="29"/>
  <c r="H66" i="29"/>
  <c r="G66" i="29"/>
  <c r="E66" i="29"/>
  <c r="B66" i="29"/>
  <c r="J65" i="29"/>
  <c r="L65" i="29" s="1"/>
  <c r="H65" i="29"/>
  <c r="G65" i="29"/>
  <c r="E65" i="29"/>
  <c r="B65" i="29"/>
  <c r="O64" i="29"/>
  <c r="J64" i="29"/>
  <c r="L64" i="29" s="1"/>
  <c r="I64" i="29"/>
  <c r="H64" i="29"/>
  <c r="G64" i="29"/>
  <c r="E64" i="29"/>
  <c r="B64" i="29"/>
  <c r="Q63" i="29"/>
  <c r="J63" i="29"/>
  <c r="L63" i="29" s="1"/>
  <c r="I63" i="29"/>
  <c r="H63" i="29"/>
  <c r="G63" i="29"/>
  <c r="F63" i="29"/>
  <c r="E63" i="29"/>
  <c r="B63" i="29"/>
  <c r="O62" i="29"/>
  <c r="J62" i="29"/>
  <c r="L62" i="29" s="1"/>
  <c r="H62" i="29"/>
  <c r="I62" i="29" s="1"/>
  <c r="E62" i="29"/>
  <c r="G62" i="29" s="1"/>
  <c r="B62" i="29"/>
  <c r="P61" i="29"/>
  <c r="Q61" i="29" s="1"/>
  <c r="L61" i="29"/>
  <c r="J61" i="29"/>
  <c r="I61" i="29"/>
  <c r="H61" i="29"/>
  <c r="E61" i="29"/>
  <c r="G61" i="29" s="1"/>
  <c r="B61" i="29"/>
  <c r="O60" i="29"/>
  <c r="L60" i="29"/>
  <c r="J60" i="29"/>
  <c r="H60" i="29"/>
  <c r="P60" i="29" s="1"/>
  <c r="E60" i="29"/>
  <c r="G60" i="29" s="1"/>
  <c r="B60" i="29"/>
  <c r="O59" i="29"/>
  <c r="J59" i="29"/>
  <c r="L59" i="29" s="1"/>
  <c r="H59" i="29"/>
  <c r="E59" i="29"/>
  <c r="G59" i="29" s="1"/>
  <c r="B59" i="29"/>
  <c r="O58" i="29"/>
  <c r="J58" i="29"/>
  <c r="L58" i="29" s="1"/>
  <c r="H58" i="29"/>
  <c r="G58" i="29"/>
  <c r="E58" i="29"/>
  <c r="B58" i="29"/>
  <c r="P57" i="29"/>
  <c r="Q57" i="29" s="1"/>
  <c r="O57" i="29"/>
  <c r="J57" i="29"/>
  <c r="L57" i="29" s="1"/>
  <c r="I57" i="29"/>
  <c r="H57" i="29"/>
  <c r="G57" i="29"/>
  <c r="E57" i="29"/>
  <c r="B57" i="29"/>
  <c r="O56" i="29"/>
  <c r="L56" i="29"/>
  <c r="J56" i="29"/>
  <c r="I56" i="29"/>
  <c r="H56" i="29"/>
  <c r="G56" i="29"/>
  <c r="E56" i="29"/>
  <c r="B56" i="29"/>
  <c r="O55" i="29"/>
  <c r="L55" i="29"/>
  <c r="J55" i="29"/>
  <c r="I55" i="29"/>
  <c r="H55" i="29"/>
  <c r="E55" i="29"/>
  <c r="G55" i="29" s="1"/>
  <c r="B55" i="29"/>
  <c r="O54" i="29"/>
  <c r="L54" i="29"/>
  <c r="J54" i="29"/>
  <c r="H54" i="29"/>
  <c r="G54" i="29"/>
  <c r="E54" i="29"/>
  <c r="B54" i="29"/>
  <c r="O53" i="29"/>
  <c r="J53" i="29"/>
  <c r="L53" i="29" s="1"/>
  <c r="I53" i="29"/>
  <c r="H53" i="29"/>
  <c r="E53" i="29"/>
  <c r="G53" i="29" s="1"/>
  <c r="B53" i="29"/>
  <c r="O52" i="29"/>
  <c r="L52" i="29"/>
  <c r="J52" i="29"/>
  <c r="H52" i="29"/>
  <c r="G52" i="29"/>
  <c r="E52" i="29"/>
  <c r="B52" i="29"/>
  <c r="P51" i="29"/>
  <c r="Q51" i="29" s="1"/>
  <c r="O51" i="29"/>
  <c r="L51" i="29"/>
  <c r="J51" i="29"/>
  <c r="I51" i="29"/>
  <c r="H51" i="29"/>
  <c r="G51" i="29"/>
  <c r="E51" i="29"/>
  <c r="B51" i="29"/>
  <c r="P50" i="29"/>
  <c r="Q50" i="29" s="1"/>
  <c r="O50" i="29"/>
  <c r="L50" i="29"/>
  <c r="J50" i="29"/>
  <c r="I50" i="29"/>
  <c r="H50" i="29"/>
  <c r="G50" i="29"/>
  <c r="E50" i="29"/>
  <c r="B50" i="29"/>
  <c r="P49" i="29"/>
  <c r="Q49" i="29" s="1"/>
  <c r="O49" i="29"/>
  <c r="L49" i="29"/>
  <c r="J49" i="29"/>
  <c r="I49" i="29"/>
  <c r="H49" i="29"/>
  <c r="E49" i="29"/>
  <c r="G49" i="29" s="1"/>
  <c r="B49" i="29"/>
  <c r="O48" i="29"/>
  <c r="J48" i="29"/>
  <c r="L48" i="29" s="1"/>
  <c r="H48" i="29"/>
  <c r="P48" i="29" s="1"/>
  <c r="E48" i="29"/>
  <c r="G48" i="29" s="1"/>
  <c r="B48" i="29"/>
  <c r="O47" i="29"/>
  <c r="J47" i="29"/>
  <c r="L47" i="29" s="1"/>
  <c r="I47" i="29"/>
  <c r="H47" i="29"/>
  <c r="P47" i="29" s="1"/>
  <c r="Q47" i="29" s="1"/>
  <c r="E47" i="29"/>
  <c r="G47" i="29" s="1"/>
  <c r="B47" i="29"/>
  <c r="O46" i="29"/>
  <c r="J46" i="29"/>
  <c r="L46" i="29" s="1"/>
  <c r="H46" i="29"/>
  <c r="G46" i="29"/>
  <c r="E46" i="29"/>
  <c r="B46" i="29"/>
  <c r="O45" i="29"/>
  <c r="J45" i="29"/>
  <c r="L45" i="29" s="1"/>
  <c r="I45" i="29"/>
  <c r="H45" i="29"/>
  <c r="G45" i="29"/>
  <c r="E45" i="29"/>
  <c r="B45" i="29"/>
  <c r="O44" i="29"/>
  <c r="L44" i="29"/>
  <c r="J44" i="29"/>
  <c r="I44" i="29"/>
  <c r="H44" i="29"/>
  <c r="G44" i="29"/>
  <c r="E44" i="29"/>
  <c r="B44" i="29"/>
  <c r="O43" i="29"/>
  <c r="L43" i="29"/>
  <c r="J43" i="29"/>
  <c r="H43" i="29"/>
  <c r="I43" i="29" s="1"/>
  <c r="E43" i="29"/>
  <c r="G43" i="29" s="1"/>
  <c r="B43" i="29"/>
  <c r="O42" i="29"/>
  <c r="J42" i="29"/>
  <c r="L42" i="29" s="1"/>
  <c r="H42" i="29"/>
  <c r="I42" i="29" s="1"/>
  <c r="G42" i="29"/>
  <c r="E42" i="29"/>
  <c r="B42" i="29"/>
  <c r="O41" i="29"/>
  <c r="J41" i="29"/>
  <c r="L41" i="29" s="1"/>
  <c r="H41" i="29"/>
  <c r="G41" i="29"/>
  <c r="E41" i="29"/>
  <c r="B41" i="29"/>
  <c r="O40" i="29"/>
  <c r="J40" i="29"/>
  <c r="L40" i="29" s="1"/>
  <c r="I40" i="29"/>
  <c r="H40" i="29"/>
  <c r="P40" i="29" s="1"/>
  <c r="Q40" i="29" s="1"/>
  <c r="G40" i="29"/>
  <c r="E40" i="29"/>
  <c r="B40" i="29"/>
  <c r="O39" i="29"/>
  <c r="L39" i="29"/>
  <c r="J39" i="29"/>
  <c r="I39" i="29"/>
  <c r="H39" i="29"/>
  <c r="G39" i="29"/>
  <c r="E39" i="29"/>
  <c r="B39" i="29"/>
  <c r="O38" i="29"/>
  <c r="L38" i="29"/>
  <c r="J38" i="29"/>
  <c r="G38" i="29"/>
  <c r="E38" i="29"/>
  <c r="B38" i="29"/>
  <c r="P37" i="29"/>
  <c r="Q37" i="29" s="1"/>
  <c r="O37" i="29"/>
  <c r="L37" i="29"/>
  <c r="J37" i="29"/>
  <c r="I37" i="29"/>
  <c r="G37" i="29"/>
  <c r="E37" i="29"/>
  <c r="B37" i="29"/>
  <c r="O36" i="29"/>
  <c r="L36" i="29"/>
  <c r="J36" i="29"/>
  <c r="I36" i="29"/>
  <c r="G36" i="29"/>
  <c r="E36" i="29"/>
  <c r="B36" i="29"/>
  <c r="O35" i="29"/>
  <c r="L35" i="29"/>
  <c r="J35" i="29"/>
  <c r="P35" i="29"/>
  <c r="E35" i="29"/>
  <c r="G35" i="29" s="1"/>
  <c r="B35" i="29"/>
  <c r="O34" i="29"/>
  <c r="J34" i="29"/>
  <c r="L34" i="29" s="1"/>
  <c r="G34" i="29"/>
  <c r="E34" i="29"/>
  <c r="B34" i="29"/>
  <c r="P33" i="29"/>
  <c r="Q33" i="29" s="1"/>
  <c r="O33" i="29"/>
  <c r="J33" i="29"/>
  <c r="L33" i="29" s="1"/>
  <c r="I33" i="29"/>
  <c r="G33" i="29"/>
  <c r="E33" i="29"/>
  <c r="B33" i="29"/>
  <c r="O32" i="29"/>
  <c r="L32" i="29"/>
  <c r="J32" i="29"/>
  <c r="I32" i="29"/>
  <c r="H32" i="29"/>
  <c r="G32" i="29"/>
  <c r="E32" i="29"/>
  <c r="B32" i="29"/>
  <c r="O31" i="29"/>
  <c r="L31" i="29"/>
  <c r="J31" i="29"/>
  <c r="I31" i="29"/>
  <c r="H31" i="29"/>
  <c r="G31" i="29"/>
  <c r="E31" i="29"/>
  <c r="B31" i="29"/>
  <c r="O30" i="29"/>
  <c r="L30" i="29"/>
  <c r="J30" i="29"/>
  <c r="I30" i="29"/>
  <c r="H30" i="29"/>
  <c r="E30" i="29"/>
  <c r="G30" i="29" s="1"/>
  <c r="B30" i="29"/>
  <c r="O29" i="29"/>
  <c r="L29" i="29"/>
  <c r="J29" i="29"/>
  <c r="I29" i="29"/>
  <c r="H29" i="29"/>
  <c r="E29" i="29"/>
  <c r="G29" i="29" s="1"/>
  <c r="B29" i="29"/>
  <c r="O28" i="29"/>
  <c r="L28" i="29"/>
  <c r="J28" i="29"/>
  <c r="H28" i="29"/>
  <c r="G28" i="29"/>
  <c r="E28" i="29"/>
  <c r="B28" i="29"/>
  <c r="O27" i="29"/>
  <c r="J27" i="29"/>
  <c r="L27" i="29" s="1"/>
  <c r="I27" i="29"/>
  <c r="H27" i="29"/>
  <c r="G27" i="29"/>
  <c r="E27" i="29"/>
  <c r="B27" i="29"/>
  <c r="O26" i="29"/>
  <c r="L26" i="29"/>
  <c r="J26" i="29"/>
  <c r="I26" i="29"/>
  <c r="H26" i="29"/>
  <c r="G26" i="29"/>
  <c r="E26" i="29"/>
  <c r="B26" i="29"/>
  <c r="O25" i="29"/>
  <c r="L25" i="29"/>
  <c r="J25" i="29"/>
  <c r="I25" i="29"/>
  <c r="H25" i="29"/>
  <c r="G25" i="29"/>
  <c r="E25" i="29"/>
  <c r="B25" i="29"/>
  <c r="O24" i="29"/>
  <c r="J24" i="29"/>
  <c r="L24" i="29" s="1"/>
  <c r="I24" i="29"/>
  <c r="H24" i="29"/>
  <c r="E24" i="29"/>
  <c r="G24" i="29" s="1"/>
  <c r="B24" i="29"/>
  <c r="O23" i="29"/>
  <c r="L23" i="29"/>
  <c r="J23" i="29"/>
  <c r="H23" i="29"/>
  <c r="G23" i="29"/>
  <c r="E23" i="29"/>
  <c r="B23" i="29"/>
  <c r="O22" i="29"/>
  <c r="J22" i="29"/>
  <c r="L22" i="29" s="1"/>
  <c r="I22" i="29"/>
  <c r="H22" i="29"/>
  <c r="G22" i="29"/>
  <c r="E22" i="29"/>
  <c r="B22" i="29"/>
  <c r="O21" i="29"/>
  <c r="J21" i="29"/>
  <c r="L21" i="29" s="1"/>
  <c r="I21" i="29"/>
  <c r="H21" i="29"/>
  <c r="G21" i="29"/>
  <c r="E21" i="29"/>
  <c r="B21" i="29"/>
  <c r="O20" i="29"/>
  <c r="L20" i="29"/>
  <c r="J20" i="29"/>
  <c r="I20" i="29"/>
  <c r="H20" i="29"/>
  <c r="G20" i="29"/>
  <c r="E20" i="29"/>
  <c r="B20" i="29"/>
  <c r="O19" i="29"/>
  <c r="L19" i="29"/>
  <c r="J19" i="29"/>
  <c r="I19" i="29"/>
  <c r="H19" i="29"/>
  <c r="G19" i="29"/>
  <c r="E19" i="29"/>
  <c r="B19" i="29"/>
  <c r="O18" i="29"/>
  <c r="L18" i="29"/>
  <c r="J18" i="29"/>
  <c r="I18" i="29"/>
  <c r="H18" i="29"/>
  <c r="G18" i="29"/>
  <c r="E18" i="29"/>
  <c r="B18" i="29"/>
  <c r="O17" i="29"/>
  <c r="L17" i="29"/>
  <c r="J17" i="29"/>
  <c r="H17" i="29"/>
  <c r="G17" i="29"/>
  <c r="E17" i="29"/>
  <c r="B17" i="29"/>
  <c r="O16" i="29"/>
  <c r="J16" i="29"/>
  <c r="L16" i="29" s="1"/>
  <c r="I16" i="29"/>
  <c r="H16" i="29"/>
  <c r="G16" i="29"/>
  <c r="E16" i="29"/>
  <c r="B16" i="29"/>
  <c r="O15" i="29"/>
  <c r="L15" i="29"/>
  <c r="J15" i="29"/>
  <c r="I15" i="29"/>
  <c r="H15" i="29"/>
  <c r="G15" i="29"/>
  <c r="E15" i="29"/>
  <c r="B15" i="29"/>
  <c r="O14" i="29"/>
  <c r="L14" i="29"/>
  <c r="J14" i="29"/>
  <c r="I14" i="29"/>
  <c r="H14" i="29"/>
  <c r="G14" i="29"/>
  <c r="E14" i="29"/>
  <c r="B14" i="29"/>
  <c r="O13" i="29"/>
  <c r="L13" i="29"/>
  <c r="J13" i="29"/>
  <c r="I13" i="29"/>
  <c r="H13" i="29"/>
  <c r="G13" i="29"/>
  <c r="E13" i="29"/>
  <c r="B13" i="29"/>
  <c r="O12" i="29"/>
  <c r="L12" i="29"/>
  <c r="J12" i="29"/>
  <c r="I12" i="29"/>
  <c r="H12" i="29"/>
  <c r="E12" i="29"/>
  <c r="G12" i="29" s="1"/>
  <c r="B12" i="29"/>
  <c r="O11" i="29"/>
  <c r="L11" i="29"/>
  <c r="J11" i="29"/>
  <c r="H11" i="29"/>
  <c r="G11" i="29"/>
  <c r="E11" i="29"/>
  <c r="B11" i="29"/>
  <c r="O10" i="29"/>
  <c r="J10" i="29"/>
  <c r="L10" i="29" s="1"/>
  <c r="I10" i="29"/>
  <c r="H10" i="29"/>
  <c r="G10" i="29"/>
  <c r="E10" i="29"/>
  <c r="B10" i="29"/>
  <c r="O9" i="29"/>
  <c r="J9" i="29"/>
  <c r="L9" i="29" s="1"/>
  <c r="I9" i="29"/>
  <c r="H9" i="29"/>
  <c r="G9" i="29"/>
  <c r="E9" i="29"/>
  <c r="B9" i="29"/>
  <c r="O8" i="29"/>
  <c r="L8" i="29"/>
  <c r="J8" i="29"/>
  <c r="I8" i="29"/>
  <c r="H8" i="29"/>
  <c r="G8" i="29"/>
  <c r="E8" i="29"/>
  <c r="B8" i="29"/>
  <c r="O7" i="29"/>
  <c r="L7" i="29"/>
  <c r="J7" i="29"/>
  <c r="I7" i="29"/>
  <c r="H7" i="29"/>
  <c r="G7" i="29"/>
  <c r="E7" i="29"/>
  <c r="B7" i="29"/>
  <c r="O6" i="29"/>
  <c r="L6" i="29"/>
  <c r="J6" i="29"/>
  <c r="I6" i="29"/>
  <c r="H6" i="29"/>
  <c r="E6" i="29"/>
  <c r="E126" i="29" s="1"/>
  <c r="B6" i="29"/>
  <c r="J125" i="26"/>
  <c r="J124" i="26"/>
  <c r="J123" i="26"/>
  <c r="J122" i="26"/>
  <c r="J121" i="26"/>
  <c r="J120" i="26"/>
  <c r="J119" i="26"/>
  <c r="J118" i="26"/>
  <c r="J117" i="26"/>
  <c r="J116" i="26"/>
  <c r="J115" i="26"/>
  <c r="J114" i="26"/>
  <c r="J113" i="26"/>
  <c r="J112" i="26"/>
  <c r="J111" i="26"/>
  <c r="J110" i="26"/>
  <c r="J109" i="26"/>
  <c r="J108" i="26"/>
  <c r="J107" i="26"/>
  <c r="J106" i="26"/>
  <c r="J105" i="26"/>
  <c r="J104" i="26"/>
  <c r="J103" i="26"/>
  <c r="J102" i="26"/>
  <c r="J101" i="26"/>
  <c r="J100" i="26"/>
  <c r="J99" i="26"/>
  <c r="J98" i="26"/>
  <c r="J97" i="26"/>
  <c r="J96" i="26"/>
  <c r="J95" i="26"/>
  <c r="J94" i="26"/>
  <c r="J93" i="26"/>
  <c r="J92" i="26"/>
  <c r="J91" i="26"/>
  <c r="J90" i="26"/>
  <c r="J89" i="26"/>
  <c r="J88" i="26"/>
  <c r="J87" i="26"/>
  <c r="J86" i="26"/>
  <c r="J85" i="26"/>
  <c r="J84" i="26"/>
  <c r="J83" i="26"/>
  <c r="J82" i="26"/>
  <c r="J81" i="26"/>
  <c r="J80" i="26"/>
  <c r="J79" i="26"/>
  <c r="J78" i="26"/>
  <c r="J77" i="26"/>
  <c r="J76" i="26"/>
  <c r="J75" i="26"/>
  <c r="J74" i="26"/>
  <c r="J73" i="26"/>
  <c r="J72" i="26"/>
  <c r="J71" i="26"/>
  <c r="J70" i="26"/>
  <c r="J69" i="26"/>
  <c r="J68" i="26"/>
  <c r="J67" i="26"/>
  <c r="J66" i="26"/>
  <c r="J65" i="26"/>
  <c r="J64" i="26"/>
  <c r="J63" i="26"/>
  <c r="J62" i="26"/>
  <c r="J61" i="26"/>
  <c r="J60" i="26"/>
  <c r="J59" i="26"/>
  <c r="J58" i="26"/>
  <c r="J57" i="26"/>
  <c r="J56" i="26"/>
  <c r="J55" i="26"/>
  <c r="J54" i="26"/>
  <c r="J53" i="26"/>
  <c r="J52" i="26"/>
  <c r="J51" i="26"/>
  <c r="J50" i="26"/>
  <c r="J49" i="26"/>
  <c r="J48" i="26"/>
  <c r="J47" i="26"/>
  <c r="J46" i="26"/>
  <c r="J45" i="26"/>
  <c r="J44" i="26"/>
  <c r="J43" i="26"/>
  <c r="J42" i="26"/>
  <c r="J41" i="26"/>
  <c r="J40" i="26"/>
  <c r="J39" i="26"/>
  <c r="J38" i="26"/>
  <c r="J37" i="26"/>
  <c r="J36" i="26"/>
  <c r="J35" i="26"/>
  <c r="J34" i="26"/>
  <c r="J33" i="26"/>
  <c r="J32" i="26"/>
  <c r="J31" i="26"/>
  <c r="J30" i="26"/>
  <c r="J29" i="26"/>
  <c r="J28" i="26"/>
  <c r="J27" i="26"/>
  <c r="J26" i="26"/>
  <c r="J25" i="26"/>
  <c r="J24" i="26"/>
  <c r="J23" i="26"/>
  <c r="J22" i="26"/>
  <c r="J21" i="26"/>
  <c r="J20" i="26"/>
  <c r="J19" i="26"/>
  <c r="J18" i="26"/>
  <c r="J17" i="26"/>
  <c r="J16" i="26"/>
  <c r="J15" i="26"/>
  <c r="J14" i="26"/>
  <c r="J13" i="26"/>
  <c r="J12" i="26"/>
  <c r="J11" i="26"/>
  <c r="J10" i="26"/>
  <c r="J9" i="26"/>
  <c r="J8" i="26"/>
  <c r="J7" i="26"/>
  <c r="J6" i="26"/>
  <c r="H125" i="26"/>
  <c r="H124" i="26"/>
  <c r="H123" i="26"/>
  <c r="H122" i="26"/>
  <c r="H121" i="26"/>
  <c r="H120" i="26"/>
  <c r="H119" i="26"/>
  <c r="H118" i="26"/>
  <c r="H117" i="26"/>
  <c r="H116" i="26"/>
  <c r="H115" i="26"/>
  <c r="H114" i="26"/>
  <c r="H113" i="26"/>
  <c r="H112" i="26"/>
  <c r="H111" i="26"/>
  <c r="H110" i="26"/>
  <c r="H109" i="26"/>
  <c r="H108" i="26"/>
  <c r="H107" i="26"/>
  <c r="H106" i="26"/>
  <c r="H105" i="26"/>
  <c r="H104" i="26"/>
  <c r="H103" i="26"/>
  <c r="H102" i="26"/>
  <c r="H101" i="26"/>
  <c r="H100" i="26"/>
  <c r="H99" i="26"/>
  <c r="H98" i="26"/>
  <c r="H97" i="26"/>
  <c r="H96" i="26"/>
  <c r="H95" i="26"/>
  <c r="H94" i="26"/>
  <c r="H93" i="26"/>
  <c r="H92" i="26"/>
  <c r="H91" i="26"/>
  <c r="H90" i="26"/>
  <c r="H89" i="26"/>
  <c r="H88" i="26"/>
  <c r="H87" i="26"/>
  <c r="H86" i="26"/>
  <c r="H85" i="26"/>
  <c r="H84" i="26"/>
  <c r="H83" i="26"/>
  <c r="H82" i="26"/>
  <c r="H81" i="26"/>
  <c r="H80" i="26"/>
  <c r="H79" i="26"/>
  <c r="H78" i="26"/>
  <c r="H77" i="26"/>
  <c r="H76" i="26"/>
  <c r="H75" i="26"/>
  <c r="H74" i="26"/>
  <c r="H73" i="26"/>
  <c r="H72" i="26"/>
  <c r="H71" i="26"/>
  <c r="H70" i="26"/>
  <c r="H69" i="26"/>
  <c r="H68" i="26"/>
  <c r="H67" i="26"/>
  <c r="H66" i="26"/>
  <c r="H65" i="26"/>
  <c r="H64" i="26"/>
  <c r="H63" i="26"/>
  <c r="H62" i="26"/>
  <c r="H61" i="26"/>
  <c r="H60" i="26"/>
  <c r="H59" i="26"/>
  <c r="H58" i="26"/>
  <c r="H57" i="26"/>
  <c r="H56" i="26"/>
  <c r="H55" i="26"/>
  <c r="H54" i="26"/>
  <c r="H53" i="26"/>
  <c r="H52" i="26"/>
  <c r="H51" i="26"/>
  <c r="H50" i="26"/>
  <c r="H49" i="26"/>
  <c r="H48" i="26"/>
  <c r="H47" i="26"/>
  <c r="H46" i="26"/>
  <c r="H45" i="26"/>
  <c r="H44" i="26"/>
  <c r="H43" i="26"/>
  <c r="H42" i="26"/>
  <c r="H41" i="26"/>
  <c r="H40" i="26"/>
  <c r="H39" i="26"/>
  <c r="H38" i="26"/>
  <c r="H37" i="26"/>
  <c r="H36" i="26"/>
  <c r="H35" i="26"/>
  <c r="H34" i="26"/>
  <c r="H33" i="26"/>
  <c r="H32" i="26"/>
  <c r="H31" i="26"/>
  <c r="H30" i="26"/>
  <c r="H29" i="26"/>
  <c r="H28" i="26"/>
  <c r="H27" i="26"/>
  <c r="H26" i="26"/>
  <c r="H25" i="26"/>
  <c r="H24" i="26"/>
  <c r="H23" i="26"/>
  <c r="H22" i="26"/>
  <c r="H21" i="26"/>
  <c r="H20" i="26"/>
  <c r="H19" i="26"/>
  <c r="H18" i="26"/>
  <c r="H17" i="26"/>
  <c r="H16" i="26"/>
  <c r="H15" i="26"/>
  <c r="H14" i="26"/>
  <c r="H13" i="26"/>
  <c r="H12" i="26"/>
  <c r="H11" i="26"/>
  <c r="H10" i="26"/>
  <c r="H9" i="26"/>
  <c r="H8" i="26"/>
  <c r="H7" i="26"/>
  <c r="H6" i="26"/>
  <c r="G6" i="26"/>
  <c r="E7" i="26"/>
  <c r="E8" i="26"/>
  <c r="E9" i="26"/>
  <c r="E10" i="26"/>
  <c r="E11" i="26"/>
  <c r="E12" i="26"/>
  <c r="E13" i="26"/>
  <c r="E14" i="26"/>
  <c r="E15" i="26"/>
  <c r="E16" i="26"/>
  <c r="E17" i="26"/>
  <c r="E18" i="26"/>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E98" i="26"/>
  <c r="E99" i="26"/>
  <c r="E100" i="26"/>
  <c r="E101" i="26"/>
  <c r="E102" i="26"/>
  <c r="E103" i="26"/>
  <c r="E104" i="26"/>
  <c r="E105" i="26"/>
  <c r="E106" i="26"/>
  <c r="E107" i="26"/>
  <c r="E108" i="26"/>
  <c r="E109" i="26"/>
  <c r="E110" i="26"/>
  <c r="E111" i="26"/>
  <c r="E112" i="26"/>
  <c r="E113" i="26"/>
  <c r="E114" i="26"/>
  <c r="E115" i="26"/>
  <c r="E116" i="26"/>
  <c r="E117" i="26"/>
  <c r="E118" i="26"/>
  <c r="E119" i="26"/>
  <c r="E120" i="26"/>
  <c r="E121" i="26"/>
  <c r="E122" i="26"/>
  <c r="E123" i="26"/>
  <c r="E124" i="26"/>
  <c r="E125" i="26"/>
  <c r="E6" i="26"/>
  <c r="B7" i="26"/>
  <c r="B8" i="26"/>
  <c r="B9" i="26"/>
  <c r="B10" i="26"/>
  <c r="B11" i="26"/>
  <c r="B12"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4" i="26"/>
  <c r="B45" i="26"/>
  <c r="B46" i="26"/>
  <c r="B47" i="26"/>
  <c r="B48" i="26"/>
  <c r="B49" i="26"/>
  <c r="B50" i="26"/>
  <c r="B51" i="26"/>
  <c r="B52" i="26"/>
  <c r="B53" i="26"/>
  <c r="B54" i="26"/>
  <c r="B55" i="26"/>
  <c r="B56" i="26"/>
  <c r="B57" i="26"/>
  <c r="B58" i="26"/>
  <c r="B59" i="26"/>
  <c r="B60" i="26"/>
  <c r="B61" i="26"/>
  <c r="B62" i="26"/>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105" i="26"/>
  <c r="B106" i="26"/>
  <c r="B107" i="26"/>
  <c r="B108" i="26"/>
  <c r="B109" i="26"/>
  <c r="B110" i="26"/>
  <c r="B111" i="26"/>
  <c r="B112" i="26"/>
  <c r="B113" i="26"/>
  <c r="B114" i="26"/>
  <c r="B115" i="26"/>
  <c r="B116" i="26"/>
  <c r="B117" i="26"/>
  <c r="B118" i="26"/>
  <c r="B119" i="26"/>
  <c r="B120" i="26"/>
  <c r="B121" i="26"/>
  <c r="B122" i="26"/>
  <c r="B123" i="26"/>
  <c r="B124" i="26"/>
  <c r="B125" i="26"/>
  <c r="B6" i="26"/>
  <c r="L124" i="28"/>
  <c r="J124" i="28"/>
  <c r="K124" i="28" s="1"/>
  <c r="E124" i="28"/>
  <c r="G124" i="28" s="1"/>
  <c r="L123" i="28"/>
  <c r="J123" i="28"/>
  <c r="K123" i="28" s="1"/>
  <c r="E123" i="28"/>
  <c r="G123" i="28" s="1"/>
  <c r="L122" i="28"/>
  <c r="J122" i="28"/>
  <c r="K122" i="28" s="1"/>
  <c r="E122" i="28"/>
  <c r="G122" i="28" s="1"/>
  <c r="L121" i="28"/>
  <c r="J121" i="28"/>
  <c r="K121" i="28" s="1"/>
  <c r="E121" i="28"/>
  <c r="G121" i="28" s="1"/>
  <c r="L120" i="28"/>
  <c r="K120" i="28"/>
  <c r="J120" i="28"/>
  <c r="E120" i="28"/>
  <c r="G120" i="28" s="1"/>
  <c r="L119" i="28"/>
  <c r="J119" i="28"/>
  <c r="K119" i="28" s="1"/>
  <c r="E119" i="28"/>
  <c r="G119" i="28" s="1"/>
  <c r="L118" i="28"/>
  <c r="J118" i="28"/>
  <c r="K118" i="28" s="1"/>
  <c r="G118" i="28"/>
  <c r="E118" i="28"/>
  <c r="L117" i="28"/>
  <c r="J117" i="28"/>
  <c r="K117" i="28" s="1"/>
  <c r="G117" i="28"/>
  <c r="L116" i="28"/>
  <c r="K116" i="28"/>
  <c r="G116" i="28"/>
  <c r="L115" i="28"/>
  <c r="J115" i="28"/>
  <c r="K115" i="28" s="1"/>
  <c r="G115" i="28"/>
  <c r="E115" i="28"/>
  <c r="L114" i="28"/>
  <c r="K114" i="28"/>
  <c r="G114" i="28"/>
  <c r="E114" i="28"/>
  <c r="L113" i="28"/>
  <c r="K113" i="28"/>
  <c r="E113" i="28"/>
  <c r="G113" i="28" s="1"/>
  <c r="L112" i="28"/>
  <c r="K112" i="28"/>
  <c r="G112" i="28"/>
  <c r="E112" i="28"/>
  <c r="L111" i="28"/>
  <c r="K111" i="28"/>
  <c r="J111" i="28"/>
  <c r="E111" i="28"/>
  <c r="G111" i="28" s="1"/>
  <c r="L110" i="28"/>
  <c r="K110" i="28"/>
  <c r="G110" i="28"/>
  <c r="L109" i="28"/>
  <c r="J109" i="28"/>
  <c r="K109" i="28" s="1"/>
  <c r="E109" i="28"/>
  <c r="G109" i="28" s="1"/>
  <c r="L108" i="28"/>
  <c r="K108" i="28"/>
  <c r="E108" i="28"/>
  <c r="G108" i="28" s="1"/>
  <c r="L107" i="28"/>
  <c r="K107" i="28"/>
  <c r="E107" i="28"/>
  <c r="G107" i="28" s="1"/>
  <c r="L106" i="28"/>
  <c r="K106" i="28"/>
  <c r="J106" i="28"/>
  <c r="G106" i="28"/>
  <c r="E106" i="28"/>
  <c r="L105" i="28"/>
  <c r="J105" i="28"/>
  <c r="K105" i="28" s="1"/>
  <c r="G105" i="28"/>
  <c r="E105" i="28"/>
  <c r="L104" i="28"/>
  <c r="K104" i="28"/>
  <c r="E104" i="28"/>
  <c r="G104" i="28" s="1"/>
  <c r="L103" i="28"/>
  <c r="K103" i="28"/>
  <c r="J103" i="28"/>
  <c r="G103" i="28"/>
  <c r="E103" i="28"/>
  <c r="L102" i="28"/>
  <c r="K102" i="28"/>
  <c r="J102" i="28"/>
  <c r="E102" i="28"/>
  <c r="G102" i="28" s="1"/>
  <c r="L101" i="28"/>
  <c r="K101" i="28"/>
  <c r="E101" i="28"/>
  <c r="G101" i="28" s="1"/>
  <c r="L100" i="28"/>
  <c r="K100" i="28"/>
  <c r="E100" i="28"/>
  <c r="G100" i="28" s="1"/>
  <c r="L99" i="28"/>
  <c r="K99" i="28"/>
  <c r="E99" i="28"/>
  <c r="G99" i="28" s="1"/>
  <c r="L98" i="28"/>
  <c r="K98" i="28"/>
  <c r="E98" i="28"/>
  <c r="G98" i="28" s="1"/>
  <c r="L97" i="28"/>
  <c r="K97" i="28"/>
  <c r="J97" i="28"/>
  <c r="G97" i="28"/>
  <c r="E97" i="28"/>
  <c r="L96" i="28"/>
  <c r="K96" i="28"/>
  <c r="E96" i="28"/>
  <c r="G96" i="28" s="1"/>
  <c r="L95" i="28"/>
  <c r="K95" i="28"/>
  <c r="E95" i="28"/>
  <c r="G95" i="28" s="1"/>
  <c r="L94" i="28"/>
  <c r="J94" i="28"/>
  <c r="K94" i="28" s="1"/>
  <c r="E94" i="28"/>
  <c r="G94" i="28" s="1"/>
  <c r="L93" i="28"/>
  <c r="K93" i="28"/>
  <c r="E93" i="28"/>
  <c r="G93" i="28" s="1"/>
  <c r="L92" i="28"/>
  <c r="K92" i="28"/>
  <c r="G92" i="28"/>
  <c r="E92" i="28"/>
  <c r="L91" i="28"/>
  <c r="K91" i="28"/>
  <c r="E91" i="28"/>
  <c r="G91" i="28" s="1"/>
  <c r="L90" i="28"/>
  <c r="K90" i="28"/>
  <c r="G90" i="28"/>
  <c r="L89" i="28"/>
  <c r="K89" i="28"/>
  <c r="J89" i="28"/>
  <c r="E89" i="28"/>
  <c r="L88" i="28"/>
  <c r="K88" i="28"/>
  <c r="G88" i="28"/>
  <c r="L87" i="28"/>
  <c r="K87" i="28"/>
  <c r="G87" i="28"/>
  <c r="L86" i="28"/>
  <c r="K86" i="28"/>
  <c r="G86" i="28"/>
  <c r="E86" i="28"/>
  <c r="L85" i="28"/>
  <c r="K85" i="28"/>
  <c r="G85" i="28"/>
  <c r="L84" i="28"/>
  <c r="K84" i="28"/>
  <c r="G84" i="28"/>
  <c r="L83" i="28"/>
  <c r="K83" i="28"/>
  <c r="E83" i="28"/>
  <c r="L82" i="28"/>
  <c r="K82" i="28"/>
  <c r="E82" i="28"/>
  <c r="L81" i="28"/>
  <c r="K81" i="28"/>
  <c r="G81" i="28"/>
  <c r="E81" i="28"/>
  <c r="L80" i="28"/>
  <c r="K80" i="28"/>
  <c r="E80" i="28"/>
  <c r="G80" i="28" s="1"/>
  <c r="L79" i="28"/>
  <c r="K79" i="28"/>
  <c r="G79" i="28"/>
  <c r="E79" i="28"/>
  <c r="L78" i="28"/>
  <c r="K78" i="28"/>
  <c r="J78" i="28"/>
  <c r="E78" i="28"/>
  <c r="G78" i="28" s="1"/>
  <c r="L77" i="28"/>
  <c r="J77" i="28"/>
  <c r="K77" i="28" s="1"/>
  <c r="E77" i="28"/>
  <c r="G77" i="28" s="1"/>
  <c r="L76" i="28"/>
  <c r="J76" i="28"/>
  <c r="K76" i="28" s="1"/>
  <c r="G76" i="28"/>
  <c r="E76" i="28"/>
  <c r="L75" i="28"/>
  <c r="K75" i="28"/>
  <c r="G75" i="28"/>
  <c r="E75" i="28"/>
  <c r="L74" i="28"/>
  <c r="K74" i="28"/>
  <c r="G74" i="28"/>
  <c r="L73" i="28"/>
  <c r="K73" i="28"/>
  <c r="G73" i="28"/>
  <c r="E73" i="28"/>
  <c r="L72" i="28"/>
  <c r="K72" i="28"/>
  <c r="G72" i="28"/>
  <c r="L71" i="28"/>
  <c r="K71" i="28"/>
  <c r="G71" i="28"/>
  <c r="L70" i="28"/>
  <c r="J70" i="28"/>
  <c r="K70" i="28" s="1"/>
  <c r="E70" i="28"/>
  <c r="G70" i="28" s="1"/>
  <c r="L69" i="28"/>
  <c r="J69" i="28"/>
  <c r="K69" i="28" s="1"/>
  <c r="G69" i="28"/>
  <c r="E69" i="28"/>
  <c r="L68" i="28"/>
  <c r="K68" i="28"/>
  <c r="E68" i="28"/>
  <c r="G68" i="28" s="1"/>
  <c r="L67" i="28"/>
  <c r="K67" i="28"/>
  <c r="G67" i="28"/>
  <c r="E67" i="28"/>
  <c r="L66" i="28"/>
  <c r="K66" i="28"/>
  <c r="G66" i="28"/>
  <c r="E66" i="28"/>
  <c r="L65" i="28"/>
  <c r="K65" i="28"/>
  <c r="E65" i="28"/>
  <c r="G65" i="28" s="1"/>
  <c r="L64" i="28"/>
  <c r="K64" i="28"/>
  <c r="G64" i="28"/>
  <c r="L63" i="28"/>
  <c r="K63" i="28"/>
  <c r="E63" i="28"/>
  <c r="G63" i="28" s="1"/>
  <c r="L62" i="28"/>
  <c r="J62" i="28"/>
  <c r="K62" i="28" s="1"/>
  <c r="G62" i="28"/>
  <c r="L61" i="28"/>
  <c r="K61" i="28"/>
  <c r="J61" i="28"/>
  <c r="E61" i="28"/>
  <c r="G61" i="28" s="1"/>
  <c r="L60" i="28"/>
  <c r="K60" i="28"/>
  <c r="G60" i="28"/>
  <c r="L59" i="28"/>
  <c r="J59" i="28"/>
  <c r="K59" i="28" s="1"/>
  <c r="E59" i="28"/>
  <c r="G59" i="28" s="1"/>
  <c r="L58" i="28"/>
  <c r="J58" i="28"/>
  <c r="K58" i="28" s="1"/>
  <c r="G58" i="28"/>
  <c r="E58" i="28"/>
  <c r="L57" i="28"/>
  <c r="K57" i="28"/>
  <c r="J57" i="28"/>
  <c r="E57" i="28"/>
  <c r="G57" i="28" s="1"/>
  <c r="L56" i="28"/>
  <c r="K56" i="28"/>
  <c r="G56" i="28"/>
  <c r="L55" i="28"/>
  <c r="K55" i="28"/>
  <c r="G55" i="28"/>
  <c r="E55" i="28"/>
  <c r="L54" i="28"/>
  <c r="K54" i="28"/>
  <c r="G54" i="28"/>
  <c r="E54" i="28"/>
  <c r="L53" i="28"/>
  <c r="K53" i="28"/>
  <c r="E53" i="28"/>
  <c r="G53" i="28" s="1"/>
  <c r="L52" i="28"/>
  <c r="K52" i="28"/>
  <c r="E52" i="28"/>
  <c r="G52" i="28" s="1"/>
  <c r="L51" i="28"/>
  <c r="K51" i="28"/>
  <c r="G51" i="28"/>
  <c r="E51" i="28"/>
  <c r="L50" i="28"/>
  <c r="K50" i="28"/>
  <c r="E50" i="28"/>
  <c r="G50" i="28" s="1"/>
  <c r="L49" i="28"/>
  <c r="K49" i="28"/>
  <c r="G49" i="28"/>
  <c r="E49" i="28"/>
  <c r="L48" i="28"/>
  <c r="K48" i="28"/>
  <c r="G48" i="28"/>
  <c r="E48" i="28"/>
  <c r="L47" i="28"/>
  <c r="K47" i="28"/>
  <c r="E47" i="28"/>
  <c r="G47" i="28" s="1"/>
  <c r="L46" i="28"/>
  <c r="K46" i="28"/>
  <c r="G46" i="28"/>
  <c r="E46" i="28"/>
  <c r="L45" i="28"/>
  <c r="K45" i="28"/>
  <c r="G45" i="28"/>
  <c r="E45" i="28"/>
  <c r="L44" i="28"/>
  <c r="K44" i="28"/>
  <c r="E44" i="28"/>
  <c r="G44" i="28" s="1"/>
  <c r="L43" i="28"/>
  <c r="K43" i="28"/>
  <c r="G43" i="28"/>
  <c r="E43" i="28"/>
  <c r="L42" i="28"/>
  <c r="K42" i="28"/>
  <c r="G42" i="28"/>
  <c r="E42" i="28"/>
  <c r="L41" i="28"/>
  <c r="K41" i="28"/>
  <c r="E41" i="28"/>
  <c r="G41" i="28" s="1"/>
  <c r="L40" i="28"/>
  <c r="K40" i="28"/>
  <c r="G40" i="28"/>
  <c r="E40" i="28"/>
  <c r="L39" i="28"/>
  <c r="K39" i="28"/>
  <c r="G39" i="28"/>
  <c r="E39" i="28"/>
  <c r="L38" i="28"/>
  <c r="J38" i="28"/>
  <c r="K38" i="28" s="1"/>
  <c r="G38" i="28"/>
  <c r="E38" i="28"/>
  <c r="L37" i="28"/>
  <c r="K37" i="28"/>
  <c r="J37" i="28"/>
  <c r="E37" i="28"/>
  <c r="G37" i="28" s="1"/>
  <c r="L36" i="28"/>
  <c r="J36" i="28"/>
  <c r="K36" i="28" s="1"/>
  <c r="E36" i="28"/>
  <c r="G36" i="28" s="1"/>
  <c r="L35" i="28"/>
  <c r="J35" i="28"/>
  <c r="K35" i="28" s="1"/>
  <c r="G35" i="28"/>
  <c r="E35" i="28"/>
  <c r="L34" i="28"/>
  <c r="K34" i="28"/>
  <c r="J34" i="28"/>
  <c r="E34" i="28"/>
  <c r="G34" i="28" s="1"/>
  <c r="L33" i="28"/>
  <c r="J33" i="28"/>
  <c r="K33" i="28" s="1"/>
  <c r="E33" i="28"/>
  <c r="G33" i="28" s="1"/>
  <c r="L32" i="28"/>
  <c r="J32" i="28"/>
  <c r="K32" i="28" s="1"/>
  <c r="G32" i="28"/>
  <c r="E32" i="28"/>
  <c r="L31" i="28"/>
  <c r="J31" i="28"/>
  <c r="K31" i="28" s="1"/>
  <c r="E31" i="28"/>
  <c r="G31" i="28" s="1"/>
  <c r="L30" i="28"/>
  <c r="K30" i="28"/>
  <c r="J30" i="28"/>
  <c r="E30" i="28"/>
  <c r="G30" i="28" s="1"/>
  <c r="L29" i="28"/>
  <c r="K29" i="28"/>
  <c r="J29" i="28"/>
  <c r="E29" i="28"/>
  <c r="G29" i="28" s="1"/>
  <c r="L28" i="28"/>
  <c r="K28" i="28"/>
  <c r="J28" i="28"/>
  <c r="G28" i="28"/>
  <c r="E28" i="28"/>
  <c r="L27" i="28"/>
  <c r="J27" i="28"/>
  <c r="K27" i="28" s="1"/>
  <c r="G27" i="28"/>
  <c r="E27" i="28"/>
  <c r="L26" i="28"/>
  <c r="J26" i="28"/>
  <c r="K26" i="28" s="1"/>
  <c r="G26" i="28"/>
  <c r="E26" i="28"/>
  <c r="L25" i="28"/>
  <c r="K25" i="28"/>
  <c r="J25" i="28"/>
  <c r="E25" i="28"/>
  <c r="G25" i="28" s="1"/>
  <c r="L24" i="28"/>
  <c r="J24" i="28"/>
  <c r="K24" i="28" s="1"/>
  <c r="E24" i="28"/>
  <c r="G24" i="28" s="1"/>
  <c r="L23" i="28"/>
  <c r="J23" i="28"/>
  <c r="K23" i="28" s="1"/>
  <c r="G23" i="28"/>
  <c r="E23" i="28"/>
  <c r="L22" i="28"/>
  <c r="G22" i="28"/>
  <c r="E22" i="28"/>
  <c r="L21" i="28"/>
  <c r="J21" i="28"/>
  <c r="K21" i="28" s="1"/>
  <c r="E21" i="28"/>
  <c r="G21" i="28" s="1"/>
  <c r="L20" i="28"/>
  <c r="K20" i="28"/>
  <c r="J20" i="28"/>
  <c r="E20" i="28"/>
  <c r="G20" i="28" s="1"/>
  <c r="L19" i="28"/>
  <c r="K19" i="28"/>
  <c r="J19" i="28"/>
  <c r="E19" i="28"/>
  <c r="G19" i="28" s="1"/>
  <c r="L18" i="28"/>
  <c r="K18" i="28"/>
  <c r="J18" i="28"/>
  <c r="G18" i="28"/>
  <c r="L17" i="28"/>
  <c r="J17" i="28"/>
  <c r="K17" i="28" s="1"/>
  <c r="G17" i="28"/>
  <c r="E17" i="28"/>
  <c r="L16" i="28"/>
  <c r="J16" i="28"/>
  <c r="K16" i="28" s="1"/>
  <c r="E16" i="28"/>
  <c r="G16" i="28" s="1"/>
  <c r="L15" i="28"/>
  <c r="K15" i="28"/>
  <c r="J15" i="28"/>
  <c r="E15" i="28"/>
  <c r="G15" i="28" s="1"/>
  <c r="L14" i="28"/>
  <c r="J14" i="28"/>
  <c r="K14" i="28" s="1"/>
  <c r="E14" i="28"/>
  <c r="G14" i="28" s="1"/>
  <c r="L13" i="28"/>
  <c r="K13" i="28"/>
  <c r="J13" i="28"/>
  <c r="G13" i="28"/>
  <c r="L12" i="28"/>
  <c r="J12" i="28"/>
  <c r="K12" i="28" s="1"/>
  <c r="G12" i="28"/>
  <c r="L11" i="28"/>
  <c r="J11" i="28"/>
  <c r="K11" i="28" s="1"/>
  <c r="E11" i="28"/>
  <c r="G11" i="28" s="1"/>
  <c r="L10" i="28"/>
  <c r="J10" i="28"/>
  <c r="K10" i="28" s="1"/>
  <c r="G10" i="28"/>
  <c r="E10" i="28"/>
  <c r="L9" i="28"/>
  <c r="K9" i="28"/>
  <c r="J9" i="28"/>
  <c r="E9" i="28"/>
  <c r="G9" i="28" s="1"/>
  <c r="L8" i="28"/>
  <c r="J8" i="28"/>
  <c r="K8" i="28" s="1"/>
  <c r="G8" i="28"/>
  <c r="L7" i="28"/>
  <c r="K7" i="28"/>
  <c r="J7" i="28"/>
  <c r="G7" i="28"/>
  <c r="L6" i="28"/>
  <c r="K6" i="28"/>
  <c r="J6" i="28"/>
  <c r="E6" i="28"/>
  <c r="G6" i="28" s="1"/>
  <c r="L5" i="28"/>
  <c r="K5" i="28"/>
  <c r="J5" i="28"/>
  <c r="J125" i="28" s="1"/>
  <c r="G5" i="28"/>
  <c r="E54" i="24"/>
  <c r="F54" i="24" s="1"/>
  <c r="G54" i="24" s="1"/>
  <c r="F32" i="24"/>
  <c r="G32" i="24" s="1"/>
  <c r="H32" i="24" s="1"/>
  <c r="F33" i="24"/>
  <c r="G33" i="24" s="1"/>
  <c r="H33" i="24" s="1"/>
  <c r="P39" i="29" s="1"/>
  <c r="Q39" i="29" s="1"/>
  <c r="F34" i="24"/>
  <c r="G34" i="24" s="1"/>
  <c r="H34" i="24" s="1"/>
  <c r="P122" i="29" s="1"/>
  <c r="Q122" i="29" s="1"/>
  <c r="F35" i="24"/>
  <c r="G35" i="24" s="1"/>
  <c r="H35" i="24" s="1"/>
  <c r="F36" i="24"/>
  <c r="G36" i="24" s="1"/>
  <c r="H36" i="24" s="1"/>
  <c r="F37" i="24"/>
  <c r="G37" i="24" s="1"/>
  <c r="H37" i="24" s="1"/>
  <c r="F40" i="24"/>
  <c r="G40" i="24" s="1"/>
  <c r="H40" i="24" s="1"/>
  <c r="F41" i="24"/>
  <c r="G41" i="24" s="1"/>
  <c r="H41" i="24" s="1"/>
  <c r="E48" i="24"/>
  <c r="F48" i="24" s="1"/>
  <c r="E49" i="24"/>
  <c r="F49" i="24" s="1"/>
  <c r="E50" i="24"/>
  <c r="F50" i="24" s="1"/>
  <c r="E51" i="24"/>
  <c r="P70" i="29" s="1"/>
  <c r="Q70" i="29" s="1"/>
  <c r="E52" i="24"/>
  <c r="F52" i="24" s="1"/>
  <c r="E53" i="24"/>
  <c r="F53" i="24" s="1"/>
  <c r="F31" i="24"/>
  <c r="R99" i="29" l="1"/>
  <c r="R91" i="29"/>
  <c r="S91" i="29" s="1"/>
  <c r="U91" i="29" s="1"/>
  <c r="V91" i="29" s="1"/>
  <c r="R36" i="29"/>
  <c r="S36" i="29" s="1"/>
  <c r="U36" i="29" s="1"/>
  <c r="V36" i="29" s="1"/>
  <c r="R61" i="29"/>
  <c r="S61" i="29" s="1"/>
  <c r="U61" i="29" s="1"/>
  <c r="V61" i="29" s="1"/>
  <c r="R89" i="29"/>
  <c r="S89" i="29" s="1"/>
  <c r="U89" i="29" s="1"/>
  <c r="V89" i="29" s="1"/>
  <c r="R82" i="29"/>
  <c r="R98" i="29"/>
  <c r="S98" i="29" s="1"/>
  <c r="U98" i="29" s="1"/>
  <c r="V98" i="29" s="1"/>
  <c r="R76" i="29"/>
  <c r="S76" i="29" s="1"/>
  <c r="U76" i="29" s="1"/>
  <c r="V76" i="29" s="1"/>
  <c r="R50" i="29"/>
  <c r="S50" i="29" s="1"/>
  <c r="U50" i="29" s="1"/>
  <c r="V50" i="29" s="1"/>
  <c r="R75" i="29"/>
  <c r="S75" i="29" s="1"/>
  <c r="U75" i="29" s="1"/>
  <c r="V75" i="29" s="1"/>
  <c r="R81" i="29"/>
  <c r="S81" i="29" s="1"/>
  <c r="U81" i="29" s="1"/>
  <c r="V81" i="29" s="1"/>
  <c r="P30" i="29"/>
  <c r="Q30" i="29" s="1"/>
  <c r="H54" i="24"/>
  <c r="P21" i="29" s="1"/>
  <c r="Q21" i="29" s="1"/>
  <c r="R21" i="29" s="1"/>
  <c r="S21" i="29" s="1"/>
  <c r="U21" i="29" s="1"/>
  <c r="V21" i="29" s="1"/>
  <c r="P29" i="29"/>
  <c r="Q29" i="29" s="1"/>
  <c r="G53" i="24"/>
  <c r="H53" i="24" s="1"/>
  <c r="G52" i="24"/>
  <c r="H52" i="24" s="1"/>
  <c r="P28" i="29"/>
  <c r="Q28" i="29" s="1"/>
  <c r="R28" i="29" s="1"/>
  <c r="S28" i="29" s="1"/>
  <c r="U28" i="29" s="1"/>
  <c r="V28" i="29" s="1"/>
  <c r="P41" i="29"/>
  <c r="Q41" i="29" s="1"/>
  <c r="R41" i="29" s="1"/>
  <c r="S41" i="29" s="1"/>
  <c r="U41" i="29" s="1"/>
  <c r="V41" i="29" s="1"/>
  <c r="F51" i="24"/>
  <c r="P68" i="29" s="1"/>
  <c r="Q68" i="29" s="1"/>
  <c r="P102" i="29"/>
  <c r="Q102" i="29" s="1"/>
  <c r="R102" i="29" s="1"/>
  <c r="S102" i="29" s="1"/>
  <c r="U102" i="29" s="1"/>
  <c r="V102" i="29" s="1"/>
  <c r="P56" i="29"/>
  <c r="Q56" i="29" s="1"/>
  <c r="R56" i="29" s="1"/>
  <c r="S56" i="29" s="1"/>
  <c r="U56" i="29" s="1"/>
  <c r="V56" i="29" s="1"/>
  <c r="P62" i="29"/>
  <c r="Q62" i="29" s="1"/>
  <c r="R62" i="29" s="1"/>
  <c r="P84" i="29"/>
  <c r="Q84" i="29" s="1"/>
  <c r="R84" i="29" s="1"/>
  <c r="S84" i="29" s="1"/>
  <c r="U84" i="29" s="1"/>
  <c r="V84" i="29" s="1"/>
  <c r="P106" i="29"/>
  <c r="Q106" i="29" s="1"/>
  <c r="R106" i="29" s="1"/>
  <c r="S106" i="29" s="1"/>
  <c r="U106" i="29" s="1"/>
  <c r="V106" i="29" s="1"/>
  <c r="Q119" i="29"/>
  <c r="R119" i="29" s="1"/>
  <c r="S119" i="29" s="1"/>
  <c r="U119" i="29" s="1"/>
  <c r="V119" i="29" s="1"/>
  <c r="P125" i="29"/>
  <c r="Q125" i="29" s="1"/>
  <c r="R125" i="29" s="1"/>
  <c r="S125" i="29" s="1"/>
  <c r="U125" i="29" s="1"/>
  <c r="V125" i="29" s="1"/>
  <c r="Q34" i="29"/>
  <c r="R34" i="29" s="1"/>
  <c r="S34" i="29" s="1"/>
  <c r="U34" i="29" s="1"/>
  <c r="V34" i="29" s="1"/>
  <c r="P114" i="29"/>
  <c r="Q114" i="29" s="1"/>
  <c r="R114" i="29" s="1"/>
  <c r="S114" i="29" s="1"/>
  <c r="U114" i="29" s="1"/>
  <c r="V114" i="29" s="1"/>
  <c r="P12" i="29"/>
  <c r="Q12" i="29" s="1"/>
  <c r="R12" i="29" s="1"/>
  <c r="S12" i="29" s="1"/>
  <c r="U12" i="29" s="1"/>
  <c r="V12" i="29" s="1"/>
  <c r="P11" i="29"/>
  <c r="Q11" i="29" s="1"/>
  <c r="R11" i="29" s="1"/>
  <c r="P17" i="29"/>
  <c r="Q17" i="29" s="1"/>
  <c r="R17" i="29" s="1"/>
  <c r="P18" i="29"/>
  <c r="Q18" i="29" s="1"/>
  <c r="P15" i="29"/>
  <c r="Q15" i="29" s="1"/>
  <c r="R15" i="29" s="1"/>
  <c r="S15" i="29" s="1"/>
  <c r="U15" i="29" s="1"/>
  <c r="V15" i="29" s="1"/>
  <c r="P10" i="29"/>
  <c r="Q10" i="29" s="1"/>
  <c r="R10" i="29" s="1"/>
  <c r="S10" i="29" s="1"/>
  <c r="U10" i="29" s="1"/>
  <c r="V10" i="29" s="1"/>
  <c r="P16" i="29"/>
  <c r="Q16" i="29" s="1"/>
  <c r="R16" i="29" s="1"/>
  <c r="S16" i="29" s="1"/>
  <c r="U16" i="29" s="1"/>
  <c r="V16" i="29" s="1"/>
  <c r="P26" i="29"/>
  <c r="Q26" i="29" s="1"/>
  <c r="R26" i="29" s="1"/>
  <c r="S26" i="29" s="1"/>
  <c r="U26" i="29" s="1"/>
  <c r="V26" i="29" s="1"/>
  <c r="P7" i="29"/>
  <c r="Q7" i="29" s="1"/>
  <c r="R7" i="29" s="1"/>
  <c r="S7" i="29" s="1"/>
  <c r="U7" i="29" s="1"/>
  <c r="V7" i="29" s="1"/>
  <c r="P31" i="29"/>
  <c r="Q31" i="29" s="1"/>
  <c r="R31" i="29" s="1"/>
  <c r="S31" i="29" s="1"/>
  <c r="U31" i="29" s="1"/>
  <c r="V31" i="29" s="1"/>
  <c r="P66" i="29"/>
  <c r="Q66" i="29" s="1"/>
  <c r="R66" i="29" s="1"/>
  <c r="S66" i="29" s="1"/>
  <c r="U66" i="29" s="1"/>
  <c r="V66" i="29" s="1"/>
  <c r="P96" i="29"/>
  <c r="Q96" i="29" s="1"/>
  <c r="R96" i="29" s="1"/>
  <c r="S96" i="29" s="1"/>
  <c r="U96" i="29" s="1"/>
  <c r="V96" i="29" s="1"/>
  <c r="P32" i="29"/>
  <c r="Q32" i="29" s="1"/>
  <c r="R32" i="29" s="1"/>
  <c r="S32" i="29" s="1"/>
  <c r="U32" i="29" s="1"/>
  <c r="V32" i="29" s="1"/>
  <c r="P116" i="29"/>
  <c r="Q116" i="29" s="1"/>
  <c r="R116" i="29" s="1"/>
  <c r="S116" i="29" s="1"/>
  <c r="U116" i="29" s="1"/>
  <c r="V116" i="29" s="1"/>
  <c r="P121" i="29"/>
  <c r="Q121" i="29" s="1"/>
  <c r="R121" i="29" s="1"/>
  <c r="S121" i="29" s="1"/>
  <c r="U121" i="29" s="1"/>
  <c r="V121" i="29" s="1"/>
  <c r="P78" i="29"/>
  <c r="Q78" i="29" s="1"/>
  <c r="R78" i="29" s="1"/>
  <c r="S78" i="29" s="1"/>
  <c r="U78" i="29" s="1"/>
  <c r="V78" i="29" s="1"/>
  <c r="P64" i="29"/>
  <c r="Q64" i="29" s="1"/>
  <c r="R64" i="29" s="1"/>
  <c r="S64" i="29" s="1"/>
  <c r="U64" i="29" s="1"/>
  <c r="V64" i="29" s="1"/>
  <c r="P67" i="29"/>
  <c r="Q67" i="29" s="1"/>
  <c r="R67" i="29" s="1"/>
  <c r="S67" i="29" s="1"/>
  <c r="U67" i="29" s="1"/>
  <c r="V67" i="29" s="1"/>
  <c r="S99" i="29"/>
  <c r="U99" i="29" s="1"/>
  <c r="V99" i="29" s="1"/>
  <c r="S82" i="29"/>
  <c r="U82" i="29" s="1"/>
  <c r="V82" i="29" s="1"/>
  <c r="R49" i="29"/>
  <c r="S49" i="29" s="1"/>
  <c r="U49" i="29" s="1"/>
  <c r="V49" i="29" s="1"/>
  <c r="G31" i="24"/>
  <c r="H31" i="24" s="1"/>
  <c r="P123" i="29" s="1"/>
  <c r="Q123" i="29" s="1"/>
  <c r="R123" i="29" s="1"/>
  <c r="S123" i="29" s="1"/>
  <c r="U123" i="29" s="1"/>
  <c r="V123" i="29" s="1"/>
  <c r="P115" i="29"/>
  <c r="Q115" i="29" s="1"/>
  <c r="R37" i="29"/>
  <c r="S37" i="29" s="1"/>
  <c r="U37" i="29" s="1"/>
  <c r="V37" i="29" s="1"/>
  <c r="R19" i="29"/>
  <c r="S19" i="29" s="1"/>
  <c r="U19" i="29" s="1"/>
  <c r="V19" i="29" s="1"/>
  <c r="R85" i="29"/>
  <c r="S85" i="29" s="1"/>
  <c r="U85" i="29" s="1"/>
  <c r="V85" i="29" s="1"/>
  <c r="R71" i="29"/>
  <c r="S71" i="29" s="1"/>
  <c r="U71" i="29" s="1"/>
  <c r="V71" i="29" s="1"/>
  <c r="R77" i="29"/>
  <c r="S77" i="29" s="1"/>
  <c r="U77" i="29" s="1"/>
  <c r="V77" i="29" s="1"/>
  <c r="P79" i="29"/>
  <c r="Q79" i="29" s="1"/>
  <c r="I79" i="29"/>
  <c r="R83" i="29"/>
  <c r="S83" i="29" s="1"/>
  <c r="U83" i="29" s="1"/>
  <c r="V83" i="29" s="1"/>
  <c r="I17" i="29"/>
  <c r="P73" i="29"/>
  <c r="Q73" i="29" s="1"/>
  <c r="I73" i="29"/>
  <c r="R93" i="29"/>
  <c r="S93" i="29" s="1"/>
  <c r="U93" i="29" s="1"/>
  <c r="V93" i="29" s="1"/>
  <c r="P111" i="29"/>
  <c r="Q111" i="29" s="1"/>
  <c r="I111" i="29"/>
  <c r="R117" i="29"/>
  <c r="S117" i="29" s="1"/>
  <c r="U117" i="29" s="1"/>
  <c r="V117" i="29" s="1"/>
  <c r="Q35" i="29"/>
  <c r="Q48" i="29"/>
  <c r="Q87" i="29"/>
  <c r="G87" i="29"/>
  <c r="R97" i="29"/>
  <c r="S97" i="29" s="1"/>
  <c r="U97" i="29" s="1"/>
  <c r="V97" i="29" s="1"/>
  <c r="R57" i="29"/>
  <c r="S57" i="29" s="1"/>
  <c r="U57" i="29" s="1"/>
  <c r="V57" i="29" s="1"/>
  <c r="R33" i="29"/>
  <c r="S33" i="29" s="1"/>
  <c r="U33" i="29" s="1"/>
  <c r="V33" i="29" s="1"/>
  <c r="I28" i="29"/>
  <c r="I35" i="29"/>
  <c r="Q60" i="29"/>
  <c r="R100" i="29"/>
  <c r="S100" i="29" s="1"/>
  <c r="U100" i="29" s="1"/>
  <c r="V100" i="29" s="1"/>
  <c r="P104" i="29"/>
  <c r="Q104" i="29" s="1"/>
  <c r="I104" i="29"/>
  <c r="R51" i="29"/>
  <c r="S51" i="29" s="1"/>
  <c r="U51" i="29" s="1"/>
  <c r="V51" i="29" s="1"/>
  <c r="P58" i="29"/>
  <c r="Q58" i="29" s="1"/>
  <c r="I58" i="29"/>
  <c r="R47" i="29"/>
  <c r="S47" i="29" s="1"/>
  <c r="U47" i="29" s="1"/>
  <c r="V47" i="29" s="1"/>
  <c r="I80" i="29"/>
  <c r="R39" i="29"/>
  <c r="S39" i="29" s="1"/>
  <c r="U39" i="29" s="1"/>
  <c r="V39" i="29" s="1"/>
  <c r="R112" i="29"/>
  <c r="S112" i="29" s="1"/>
  <c r="U112" i="29" s="1"/>
  <c r="V112" i="29" s="1"/>
  <c r="R113" i="29"/>
  <c r="S113" i="29" s="1"/>
  <c r="U113" i="29" s="1"/>
  <c r="V113" i="29" s="1"/>
  <c r="R95" i="29"/>
  <c r="S95" i="29" s="1"/>
  <c r="U95" i="29" s="1"/>
  <c r="V95" i="29" s="1"/>
  <c r="I11" i="29"/>
  <c r="I23" i="29"/>
  <c r="I34" i="29"/>
  <c r="I41" i="29"/>
  <c r="R86" i="29"/>
  <c r="S86" i="29" s="1"/>
  <c r="U86" i="29" s="1"/>
  <c r="V86" i="29" s="1"/>
  <c r="R92" i="29"/>
  <c r="S92" i="29" s="1"/>
  <c r="U92" i="29" s="1"/>
  <c r="V92" i="29" s="1"/>
  <c r="P118" i="29"/>
  <c r="Q118" i="29" s="1"/>
  <c r="I118" i="29"/>
  <c r="R122" i="29"/>
  <c r="S122" i="29" s="1"/>
  <c r="U122" i="29" s="1"/>
  <c r="V122" i="29" s="1"/>
  <c r="G6" i="29"/>
  <c r="R72" i="29"/>
  <c r="S72" i="29" s="1"/>
  <c r="U72" i="29" s="1"/>
  <c r="V72" i="29" s="1"/>
  <c r="Q88" i="29"/>
  <c r="R108" i="29"/>
  <c r="S108" i="29" s="1"/>
  <c r="U108" i="29" s="1"/>
  <c r="V108" i="29" s="1"/>
  <c r="I110" i="29"/>
  <c r="I52" i="29"/>
  <c r="P59" i="29"/>
  <c r="Q59" i="29" s="1"/>
  <c r="I59" i="29"/>
  <c r="R63" i="29"/>
  <c r="S63" i="29" s="1"/>
  <c r="U63" i="29" s="1"/>
  <c r="V63" i="29" s="1"/>
  <c r="P65" i="29"/>
  <c r="Q65" i="29" s="1"/>
  <c r="I65" i="29"/>
  <c r="R70" i="29"/>
  <c r="S70" i="29" s="1"/>
  <c r="U70" i="29" s="1"/>
  <c r="V70" i="29" s="1"/>
  <c r="Q105" i="29"/>
  <c r="R40" i="29"/>
  <c r="S40" i="29" s="1"/>
  <c r="U40" i="29" s="1"/>
  <c r="V40" i="29" s="1"/>
  <c r="I46" i="29"/>
  <c r="R101" i="29"/>
  <c r="S101" i="29" s="1"/>
  <c r="U101" i="29" s="1"/>
  <c r="V101" i="29" s="1"/>
  <c r="I103" i="29"/>
  <c r="I67" i="29"/>
  <c r="I74" i="29"/>
  <c r="I97" i="29"/>
  <c r="I48" i="29"/>
  <c r="I54" i="29"/>
  <c r="I60" i="29"/>
  <c r="I81" i="29"/>
  <c r="I88" i="29"/>
  <c r="R94" i="29"/>
  <c r="S94" i="29" s="1"/>
  <c r="U94" i="29" s="1"/>
  <c r="V94" i="29" s="1"/>
  <c r="I105" i="29"/>
  <c r="I68" i="29"/>
  <c r="I98" i="29"/>
  <c r="I106" i="29"/>
  <c r="I113" i="29"/>
  <c r="I120" i="29"/>
  <c r="G50" i="24"/>
  <c r="H50" i="24" s="1"/>
  <c r="P22" i="29" s="1"/>
  <c r="Q22" i="29" s="1"/>
  <c r="R22" i="29" s="1"/>
  <c r="S22" i="29" s="1"/>
  <c r="U22" i="29" s="1"/>
  <c r="V22" i="29" s="1"/>
  <c r="G49" i="24"/>
  <c r="G48" i="24"/>
  <c r="H48" i="24" s="1"/>
  <c r="P38" i="29" s="1"/>
  <c r="Q38" i="29" s="1"/>
  <c r="R38" i="29" s="1"/>
  <c r="S38" i="29" s="1"/>
  <c r="U38" i="29" s="1"/>
  <c r="V38" i="29" s="1"/>
  <c r="K125" i="28"/>
  <c r="H9" i="27"/>
  <c r="J15" i="27"/>
  <c r="K13" i="27"/>
  <c r="H8" i="27"/>
  <c r="H14" i="27" l="1"/>
  <c r="G126" i="29"/>
  <c r="S11" i="29"/>
  <c r="U11" i="29" s="1"/>
  <c r="V11" i="29" s="1"/>
  <c r="S62" i="29"/>
  <c r="U62" i="29" s="1"/>
  <c r="V62" i="29" s="1"/>
  <c r="P20" i="29"/>
  <c r="Q20" i="29" s="1"/>
  <c r="R20" i="29" s="1"/>
  <c r="S20" i="29" s="1"/>
  <c r="U20" i="29" s="1"/>
  <c r="V20" i="29" s="1"/>
  <c r="P23" i="29"/>
  <c r="Q23" i="29" s="1"/>
  <c r="R68" i="29"/>
  <c r="S68" i="29" s="1"/>
  <c r="U68" i="29" s="1"/>
  <c r="V68" i="29" s="1"/>
  <c r="P90" i="29"/>
  <c r="Q90" i="29" s="1"/>
  <c r="P24" i="29"/>
  <c r="Q24" i="29" s="1"/>
  <c r="R24" i="29" s="1"/>
  <c r="S24" i="29" s="1"/>
  <c r="U24" i="29" s="1"/>
  <c r="V24" i="29" s="1"/>
  <c r="P13" i="29"/>
  <c r="Q13" i="29" s="1"/>
  <c r="R13" i="29" s="1"/>
  <c r="S13" i="29" s="1"/>
  <c r="U13" i="29" s="1"/>
  <c r="V13" i="29" s="1"/>
  <c r="Q107" i="29"/>
  <c r="R107" i="29" s="1"/>
  <c r="S107" i="29" s="1"/>
  <c r="U107" i="29" s="1"/>
  <c r="V107" i="29" s="1"/>
  <c r="P25" i="29"/>
  <c r="Q25" i="29" s="1"/>
  <c r="P8" i="29"/>
  <c r="Q8" i="29" s="1"/>
  <c r="R8" i="29" s="1"/>
  <c r="S8" i="29" s="1"/>
  <c r="U8" i="29" s="1"/>
  <c r="V8" i="29" s="1"/>
  <c r="P14" i="29"/>
  <c r="Q14" i="29" s="1"/>
  <c r="R14" i="29" s="1"/>
  <c r="S14" i="29" s="1"/>
  <c r="U14" i="29" s="1"/>
  <c r="V14" i="29" s="1"/>
  <c r="P9" i="29"/>
  <c r="Q9" i="29" s="1"/>
  <c r="R9" i="29" s="1"/>
  <c r="S9" i="29" s="1"/>
  <c r="U9" i="29" s="1"/>
  <c r="V9" i="29" s="1"/>
  <c r="P6" i="29"/>
  <c r="Q6" i="29" s="1"/>
  <c r="R6" i="29" s="1"/>
  <c r="S6" i="29" s="1"/>
  <c r="U6" i="29" s="1"/>
  <c r="V6" i="29" s="1"/>
  <c r="G51" i="24"/>
  <c r="H49" i="24"/>
  <c r="P27" i="29"/>
  <c r="Q27" i="29" s="1"/>
  <c r="R27" i="29" s="1"/>
  <c r="S27" i="29" s="1"/>
  <c r="U27" i="29" s="1"/>
  <c r="V27" i="29" s="1"/>
  <c r="S17" i="29"/>
  <c r="U17" i="29" s="1"/>
  <c r="V17" i="29" s="1"/>
  <c r="P124" i="29"/>
  <c r="Q124" i="29" s="1"/>
  <c r="R124" i="29" s="1"/>
  <c r="S124" i="29" s="1"/>
  <c r="U124" i="29" s="1"/>
  <c r="V124" i="29" s="1"/>
  <c r="R115" i="29"/>
  <c r="S115" i="29" s="1"/>
  <c r="U115" i="29" s="1"/>
  <c r="V115" i="29" s="1"/>
  <c r="R88" i="29"/>
  <c r="S88" i="29" s="1"/>
  <c r="U88" i="29" s="1"/>
  <c r="V88" i="29" s="1"/>
  <c r="R48" i="29"/>
  <c r="S48" i="29" s="1"/>
  <c r="U48" i="29" s="1"/>
  <c r="V48" i="29" s="1"/>
  <c r="R73" i="29"/>
  <c r="S73" i="29" s="1"/>
  <c r="U73" i="29" s="1"/>
  <c r="V73" i="29" s="1"/>
  <c r="R60" i="29"/>
  <c r="S60" i="29" s="1"/>
  <c r="U60" i="29" s="1"/>
  <c r="V60" i="29" s="1"/>
  <c r="R30" i="29"/>
  <c r="S30" i="29" s="1"/>
  <c r="U30" i="29" s="1"/>
  <c r="V30" i="29" s="1"/>
  <c r="R65" i="29"/>
  <c r="S65" i="29" s="1"/>
  <c r="U65" i="29" s="1"/>
  <c r="V65" i="29" s="1"/>
  <c r="R18" i="29"/>
  <c r="S18" i="29" s="1"/>
  <c r="U18" i="29" s="1"/>
  <c r="V18" i="29" s="1"/>
  <c r="R118" i="29"/>
  <c r="S118" i="29" s="1"/>
  <c r="U118" i="29" s="1"/>
  <c r="V118" i="29" s="1"/>
  <c r="R29" i="29"/>
  <c r="S29" i="29" s="1"/>
  <c r="U29" i="29" s="1"/>
  <c r="V29" i="29" s="1"/>
  <c r="R58" i="29"/>
  <c r="S58" i="29" s="1"/>
  <c r="U58" i="29" s="1"/>
  <c r="V58" i="29" s="1"/>
  <c r="R111" i="29"/>
  <c r="S111" i="29" s="1"/>
  <c r="U111" i="29" s="1"/>
  <c r="V111" i="29" s="1"/>
  <c r="R104" i="29"/>
  <c r="S104" i="29" s="1"/>
  <c r="U104" i="29" s="1"/>
  <c r="V104" i="29" s="1"/>
  <c r="R59" i="29"/>
  <c r="S59" i="29" s="1"/>
  <c r="U59" i="29" s="1"/>
  <c r="V59" i="29" s="1"/>
  <c r="R105" i="29"/>
  <c r="S105" i="29" s="1"/>
  <c r="U105" i="29" s="1"/>
  <c r="V105" i="29" s="1"/>
  <c r="R87" i="29"/>
  <c r="S87" i="29" s="1"/>
  <c r="U87" i="29" s="1"/>
  <c r="V87" i="29" s="1"/>
  <c r="R35" i="29"/>
  <c r="S35" i="29" s="1"/>
  <c r="U35" i="29" s="1"/>
  <c r="V35" i="29" s="1"/>
  <c r="R79" i="29"/>
  <c r="S79" i="29" s="1"/>
  <c r="U79" i="29" s="1"/>
  <c r="V79" i="29" s="1"/>
  <c r="H7" i="27"/>
  <c r="R23" i="29" l="1"/>
  <c r="S23" i="29" s="1"/>
  <c r="U23" i="29" s="1"/>
  <c r="V23" i="29" s="1"/>
  <c r="P45" i="29"/>
  <c r="Q45" i="29" s="1"/>
  <c r="R45" i="29" s="1"/>
  <c r="S45" i="29" s="1"/>
  <c r="U45" i="29" s="1"/>
  <c r="V45" i="29" s="1"/>
  <c r="P42" i="29"/>
  <c r="Q42" i="29" s="1"/>
  <c r="P55" i="29"/>
  <c r="Q55" i="29" s="1"/>
  <c r="R55" i="29" s="1"/>
  <c r="S55" i="29" s="1"/>
  <c r="U55" i="29" s="1"/>
  <c r="V55" i="29" s="1"/>
  <c r="P43" i="29"/>
  <c r="Q43" i="29" s="1"/>
  <c r="R43" i="29" s="1"/>
  <c r="S43" i="29" s="1"/>
  <c r="U43" i="29" s="1"/>
  <c r="V43" i="29" s="1"/>
  <c r="P69" i="29"/>
  <c r="Q69" i="29" s="1"/>
  <c r="R69" i="29" s="1"/>
  <c r="S69" i="29" s="1"/>
  <c r="U69" i="29" s="1"/>
  <c r="V69" i="29" s="1"/>
  <c r="P44" i="29"/>
  <c r="Q44" i="29" s="1"/>
  <c r="R44" i="29" s="1"/>
  <c r="S44" i="29" s="1"/>
  <c r="U44" i="29" s="1"/>
  <c r="V44" i="29" s="1"/>
  <c r="P103" i="29"/>
  <c r="Q103" i="29" s="1"/>
  <c r="R103" i="29" s="1"/>
  <c r="S103" i="29" s="1"/>
  <c r="U103" i="29" s="1"/>
  <c r="V103" i="29" s="1"/>
  <c r="P46" i="29"/>
  <c r="Q46" i="29" s="1"/>
  <c r="R46" i="29" s="1"/>
  <c r="S46" i="29" s="1"/>
  <c r="U46" i="29" s="1"/>
  <c r="V46" i="29" s="1"/>
  <c r="Q110" i="29"/>
  <c r="R110" i="29" s="1"/>
  <c r="S110" i="29" s="1"/>
  <c r="U110" i="29" s="1"/>
  <c r="V110" i="29" s="1"/>
  <c r="P54" i="29"/>
  <c r="Q54" i="29" s="1"/>
  <c r="P53" i="29"/>
  <c r="Q53" i="29" s="1"/>
  <c r="R53" i="29" s="1"/>
  <c r="S53" i="29" s="1"/>
  <c r="U53" i="29" s="1"/>
  <c r="V53" i="29" s="1"/>
  <c r="P120" i="29"/>
  <c r="Q120" i="29" s="1"/>
  <c r="P74" i="29"/>
  <c r="Q74" i="29" s="1"/>
  <c r="R74" i="29" s="1"/>
  <c r="S74" i="29" s="1"/>
  <c r="U74" i="29" s="1"/>
  <c r="V74" i="29" s="1"/>
  <c r="P52" i="29"/>
  <c r="Q52" i="29" s="1"/>
  <c r="R52" i="29" s="1"/>
  <c r="S52" i="29" s="1"/>
  <c r="U52" i="29" s="1"/>
  <c r="V52" i="29" s="1"/>
  <c r="R25" i="29"/>
  <c r="S25" i="29" s="1"/>
  <c r="U25" i="29" s="1"/>
  <c r="R90" i="29"/>
  <c r="S90" i="29" s="1"/>
  <c r="U90" i="29" s="1"/>
  <c r="V90" i="29" s="1"/>
  <c r="H51" i="24"/>
  <c r="G14" i="23"/>
  <c r="V25" i="29" l="1"/>
  <c r="R54" i="29"/>
  <c r="S54" i="29" s="1"/>
  <c r="U54" i="29" s="1"/>
  <c r="V54" i="29" s="1"/>
  <c r="R120" i="29"/>
  <c r="S120" i="29" s="1"/>
  <c r="U120" i="29" s="1"/>
  <c r="V120" i="29" s="1"/>
  <c r="P109" i="29"/>
  <c r="Q109" i="29" s="1"/>
  <c r="R109" i="29" s="1"/>
  <c r="S109" i="29" s="1"/>
  <c r="U109" i="29" s="1"/>
  <c r="V109" i="29" s="1"/>
  <c r="P80" i="29"/>
  <c r="Q80" i="29" s="1"/>
  <c r="R80" i="29" s="1"/>
  <c r="S80" i="29" s="1"/>
  <c r="U80" i="29" s="1"/>
  <c r="V80" i="29" s="1"/>
  <c r="R42" i="29"/>
  <c r="S42" i="29" s="1"/>
  <c r="U42" i="29" s="1"/>
  <c r="V42" i="29" s="1"/>
  <c r="Q126" i="29"/>
  <c r="P117" i="26"/>
  <c r="E137" i="26"/>
  <c r="E138" i="26" s="1"/>
  <c r="E139" i="26" s="1"/>
  <c r="G136" i="26"/>
  <c r="O125" i="26"/>
  <c r="L125" i="26"/>
  <c r="P125" i="26"/>
  <c r="Q125" i="26" s="1"/>
  <c r="G125" i="26"/>
  <c r="O124" i="26"/>
  <c r="L124" i="26"/>
  <c r="P124" i="26"/>
  <c r="G124" i="26"/>
  <c r="O123" i="26"/>
  <c r="L123" i="26"/>
  <c r="I123" i="26"/>
  <c r="O122" i="26"/>
  <c r="L122" i="26"/>
  <c r="G122" i="26"/>
  <c r="L121" i="26"/>
  <c r="P121" i="26"/>
  <c r="G121" i="26"/>
  <c r="O120" i="26"/>
  <c r="L120" i="26"/>
  <c r="P120" i="26"/>
  <c r="Q120" i="26" s="1"/>
  <c r="G120" i="26"/>
  <c r="O119" i="26"/>
  <c r="L119" i="26"/>
  <c r="P119" i="26"/>
  <c r="L118" i="26"/>
  <c r="P118" i="26"/>
  <c r="L117" i="26"/>
  <c r="I117" i="26"/>
  <c r="G117" i="26"/>
  <c r="O116" i="26"/>
  <c r="L116" i="26"/>
  <c r="P116" i="26"/>
  <c r="Q116" i="26" s="1"/>
  <c r="G116" i="26"/>
  <c r="O115" i="26"/>
  <c r="L115" i="26"/>
  <c r="P115" i="26"/>
  <c r="O114" i="26"/>
  <c r="L114" i="26"/>
  <c r="P114" i="26"/>
  <c r="O113" i="26"/>
  <c r="L113" i="26"/>
  <c r="P113" i="26"/>
  <c r="Q113" i="26" s="1"/>
  <c r="G113" i="26"/>
  <c r="O112" i="26"/>
  <c r="L112" i="26"/>
  <c r="P112" i="26"/>
  <c r="G112" i="26"/>
  <c r="L111" i="26"/>
  <c r="P111" i="26"/>
  <c r="O110" i="26"/>
  <c r="L110" i="26"/>
  <c r="I110" i="26"/>
  <c r="O109" i="26"/>
  <c r="L109" i="26"/>
  <c r="P109" i="26"/>
  <c r="G109" i="26"/>
  <c r="L108" i="26"/>
  <c r="I108" i="26"/>
  <c r="G108" i="26"/>
  <c r="O107" i="26"/>
  <c r="L107" i="26"/>
  <c r="P107" i="26"/>
  <c r="O106" i="26"/>
  <c r="L106" i="26"/>
  <c r="I106" i="26"/>
  <c r="L105" i="26"/>
  <c r="P105" i="26"/>
  <c r="G105" i="26"/>
  <c r="O104" i="26"/>
  <c r="L104" i="26"/>
  <c r="P104" i="26"/>
  <c r="G104" i="26"/>
  <c r="O103" i="26"/>
  <c r="L103" i="26"/>
  <c r="P103" i="26"/>
  <c r="G103" i="26"/>
  <c r="O102" i="26"/>
  <c r="L102" i="26"/>
  <c r="G102" i="26"/>
  <c r="L101" i="26"/>
  <c r="G101" i="26"/>
  <c r="L100" i="26"/>
  <c r="P100" i="26"/>
  <c r="L99" i="26"/>
  <c r="I99" i="26"/>
  <c r="O98" i="26"/>
  <c r="L98" i="26"/>
  <c r="P98" i="26"/>
  <c r="O97" i="26"/>
  <c r="L97" i="26"/>
  <c r="P97" i="26"/>
  <c r="G97" i="26"/>
  <c r="O96" i="26"/>
  <c r="L96" i="26"/>
  <c r="P96" i="26"/>
  <c r="Q96" i="26" s="1"/>
  <c r="G96" i="26"/>
  <c r="L95" i="26"/>
  <c r="I95" i="26"/>
  <c r="F95" i="26"/>
  <c r="Q95" i="26" s="1"/>
  <c r="L94" i="26"/>
  <c r="I94" i="26"/>
  <c r="F94" i="26"/>
  <c r="Q94" i="26" s="1"/>
  <c r="G94" i="26"/>
  <c r="L93" i="26"/>
  <c r="P93" i="26"/>
  <c r="G93" i="26"/>
  <c r="L92" i="26"/>
  <c r="P92" i="26"/>
  <c r="G92" i="26"/>
  <c r="L91" i="26"/>
  <c r="P91" i="26"/>
  <c r="O90" i="26"/>
  <c r="L90" i="26"/>
  <c r="I90" i="26"/>
  <c r="G90" i="26"/>
  <c r="L89" i="26"/>
  <c r="F89" i="26"/>
  <c r="Q89" i="26" s="1"/>
  <c r="G89" i="26"/>
  <c r="L88" i="26"/>
  <c r="I88" i="26"/>
  <c r="G88" i="26"/>
  <c r="L87" i="26"/>
  <c r="I87" i="26"/>
  <c r="G87" i="26"/>
  <c r="O86" i="26"/>
  <c r="L86" i="26"/>
  <c r="F86" i="26"/>
  <c r="Q86" i="26" s="1"/>
  <c r="G86" i="26"/>
  <c r="O85" i="26"/>
  <c r="L85" i="26"/>
  <c r="F85" i="26"/>
  <c r="Q85" i="26" s="1"/>
  <c r="G85" i="26"/>
  <c r="O84" i="26"/>
  <c r="L84" i="26"/>
  <c r="I84" i="26"/>
  <c r="G84" i="26"/>
  <c r="O83" i="26"/>
  <c r="L83" i="26"/>
  <c r="P83" i="26"/>
  <c r="O82" i="26"/>
  <c r="L82" i="26"/>
  <c r="P82" i="26"/>
  <c r="O81" i="26"/>
  <c r="L81" i="26"/>
  <c r="P81" i="26"/>
  <c r="G81" i="26"/>
  <c r="O80" i="26"/>
  <c r="L80" i="26"/>
  <c r="I80" i="26"/>
  <c r="G80" i="26"/>
  <c r="O79" i="26"/>
  <c r="L79" i="26"/>
  <c r="P79" i="26"/>
  <c r="Q79" i="26" s="1"/>
  <c r="G79" i="26"/>
  <c r="O78" i="26"/>
  <c r="L78" i="26"/>
  <c r="P78" i="26"/>
  <c r="G78" i="26"/>
  <c r="O77" i="26"/>
  <c r="L77" i="26"/>
  <c r="G77" i="26"/>
  <c r="O76" i="26"/>
  <c r="L76" i="26"/>
  <c r="P76" i="26"/>
  <c r="G76" i="26"/>
  <c r="L75" i="26"/>
  <c r="P75" i="26"/>
  <c r="O74" i="26"/>
  <c r="L74" i="26"/>
  <c r="L73" i="26"/>
  <c r="P73" i="26"/>
  <c r="Q73" i="26" s="1"/>
  <c r="G73" i="26"/>
  <c r="L72" i="26"/>
  <c r="I72" i="26"/>
  <c r="G72" i="26"/>
  <c r="O71" i="26"/>
  <c r="L71" i="26"/>
  <c r="P71" i="26"/>
  <c r="O70" i="26"/>
  <c r="L70" i="26"/>
  <c r="O69" i="26"/>
  <c r="L69" i="26"/>
  <c r="P69" i="26"/>
  <c r="G69" i="26"/>
  <c r="O68" i="26"/>
  <c r="L68" i="26"/>
  <c r="I68" i="26"/>
  <c r="G68" i="26"/>
  <c r="O67" i="26"/>
  <c r="L67" i="26"/>
  <c r="P67" i="26"/>
  <c r="O66" i="26"/>
  <c r="L66" i="26"/>
  <c r="P66" i="26"/>
  <c r="G66" i="26"/>
  <c r="L65" i="26"/>
  <c r="O64" i="26"/>
  <c r="L64" i="26"/>
  <c r="P64" i="26"/>
  <c r="G64" i="26"/>
  <c r="L63" i="26"/>
  <c r="I63" i="26"/>
  <c r="F63" i="26"/>
  <c r="Q63" i="26" s="1"/>
  <c r="O62" i="26"/>
  <c r="L62" i="26"/>
  <c r="L61" i="26"/>
  <c r="P61" i="26"/>
  <c r="G61" i="26"/>
  <c r="O60" i="26"/>
  <c r="L60" i="26"/>
  <c r="P60" i="26"/>
  <c r="G60" i="26"/>
  <c r="O59" i="26"/>
  <c r="L59" i="26"/>
  <c r="I59" i="26"/>
  <c r="O58" i="26"/>
  <c r="L58" i="26"/>
  <c r="O57" i="26"/>
  <c r="L57" i="26"/>
  <c r="P57" i="26"/>
  <c r="Q57" i="26" s="1"/>
  <c r="G57" i="26"/>
  <c r="O56" i="26"/>
  <c r="L56" i="26"/>
  <c r="I56" i="26"/>
  <c r="G56" i="26"/>
  <c r="O55" i="26"/>
  <c r="L55" i="26"/>
  <c r="I55" i="26"/>
  <c r="G55" i="26"/>
  <c r="O54" i="26"/>
  <c r="L54" i="26"/>
  <c r="P54" i="26"/>
  <c r="O53" i="26"/>
  <c r="L53" i="26"/>
  <c r="P53" i="26"/>
  <c r="Q53" i="26" s="1"/>
  <c r="G53" i="26"/>
  <c r="O52" i="26"/>
  <c r="L52" i="26"/>
  <c r="P52" i="26"/>
  <c r="G52" i="26"/>
  <c r="O51" i="26"/>
  <c r="L51" i="26"/>
  <c r="P51" i="26"/>
  <c r="Q51" i="26" s="1"/>
  <c r="O50" i="26"/>
  <c r="L50" i="26"/>
  <c r="P50" i="26"/>
  <c r="Q50" i="26" s="1"/>
  <c r="G50" i="26"/>
  <c r="O49" i="26"/>
  <c r="L49" i="26"/>
  <c r="P49" i="26"/>
  <c r="G49" i="26"/>
  <c r="O48" i="26"/>
  <c r="L48" i="26"/>
  <c r="P48" i="26"/>
  <c r="G48" i="26"/>
  <c r="O47" i="26"/>
  <c r="L47" i="26"/>
  <c r="I47" i="26"/>
  <c r="G47" i="26"/>
  <c r="O46" i="26"/>
  <c r="L46" i="26"/>
  <c r="P46" i="26"/>
  <c r="G46" i="26"/>
  <c r="O45" i="26"/>
  <c r="L45" i="26"/>
  <c r="P45" i="26"/>
  <c r="G45" i="26"/>
  <c r="O44" i="26"/>
  <c r="L44" i="26"/>
  <c r="P44" i="26"/>
  <c r="G44" i="26"/>
  <c r="O43" i="26"/>
  <c r="L43" i="26"/>
  <c r="P43" i="26"/>
  <c r="G43" i="26"/>
  <c r="O42" i="26"/>
  <c r="L42" i="26"/>
  <c r="P42" i="26"/>
  <c r="G42" i="26"/>
  <c r="O41" i="26"/>
  <c r="L41" i="26"/>
  <c r="P41" i="26"/>
  <c r="Q41" i="26" s="1"/>
  <c r="G41" i="26"/>
  <c r="O40" i="26"/>
  <c r="L40" i="26"/>
  <c r="P40" i="26"/>
  <c r="G40" i="26"/>
  <c r="O39" i="26"/>
  <c r="L39" i="26"/>
  <c r="P39" i="26"/>
  <c r="G39" i="26"/>
  <c r="O38" i="26"/>
  <c r="L38" i="26"/>
  <c r="P38" i="26"/>
  <c r="Q38" i="26" s="1"/>
  <c r="G38" i="26"/>
  <c r="O37" i="26"/>
  <c r="L37" i="26"/>
  <c r="P37" i="26"/>
  <c r="G37" i="26"/>
  <c r="O36" i="26"/>
  <c r="L36" i="26"/>
  <c r="P36" i="26"/>
  <c r="G36" i="26"/>
  <c r="O35" i="26"/>
  <c r="L35" i="26"/>
  <c r="P35" i="26"/>
  <c r="Q35" i="26" s="1"/>
  <c r="G35" i="26"/>
  <c r="O34" i="26"/>
  <c r="L34" i="26"/>
  <c r="P34" i="26"/>
  <c r="G34" i="26"/>
  <c r="O33" i="26"/>
  <c r="L33" i="26"/>
  <c r="P33" i="26"/>
  <c r="G33" i="26"/>
  <c r="O32" i="26"/>
  <c r="L32" i="26"/>
  <c r="P32" i="26"/>
  <c r="Q32" i="26" s="1"/>
  <c r="G32" i="26"/>
  <c r="O31" i="26"/>
  <c r="L31" i="26"/>
  <c r="P31" i="26"/>
  <c r="G31" i="26"/>
  <c r="O30" i="26"/>
  <c r="L30" i="26"/>
  <c r="P30" i="26"/>
  <c r="G30" i="26"/>
  <c r="O29" i="26"/>
  <c r="L29" i="26"/>
  <c r="P29" i="26"/>
  <c r="Q29" i="26" s="1"/>
  <c r="G29" i="26"/>
  <c r="O28" i="26"/>
  <c r="L28" i="26"/>
  <c r="P28" i="26"/>
  <c r="G28" i="26"/>
  <c r="O27" i="26"/>
  <c r="L27" i="26"/>
  <c r="P27" i="26"/>
  <c r="G27" i="26"/>
  <c r="O26" i="26"/>
  <c r="L26" i="26"/>
  <c r="P26" i="26"/>
  <c r="Q26" i="26" s="1"/>
  <c r="G26" i="26"/>
  <c r="O25" i="26"/>
  <c r="L25" i="26"/>
  <c r="P25" i="26"/>
  <c r="G25" i="26"/>
  <c r="O24" i="26"/>
  <c r="L24" i="26"/>
  <c r="P24" i="26"/>
  <c r="G24" i="26"/>
  <c r="O23" i="26"/>
  <c r="L23" i="26"/>
  <c r="P23" i="26"/>
  <c r="G23" i="26"/>
  <c r="O22" i="26"/>
  <c r="L22" i="26"/>
  <c r="P22" i="26"/>
  <c r="G22" i="26"/>
  <c r="O21" i="26"/>
  <c r="L21" i="26"/>
  <c r="P21" i="26"/>
  <c r="Q21" i="26" s="1"/>
  <c r="G21" i="26"/>
  <c r="O20" i="26"/>
  <c r="L20" i="26"/>
  <c r="P20" i="26"/>
  <c r="G20" i="26"/>
  <c r="O19" i="26"/>
  <c r="L19" i="26"/>
  <c r="P19" i="26"/>
  <c r="G19" i="26"/>
  <c r="O18" i="26"/>
  <c r="L18" i="26"/>
  <c r="P18" i="26"/>
  <c r="G18" i="26"/>
  <c r="O17" i="26"/>
  <c r="L17" i="26"/>
  <c r="P17" i="26"/>
  <c r="G17" i="26"/>
  <c r="O16" i="26"/>
  <c r="L16" i="26"/>
  <c r="P16" i="26"/>
  <c r="G16" i="26"/>
  <c r="O15" i="26"/>
  <c r="L15" i="26"/>
  <c r="P15" i="26"/>
  <c r="Q15" i="26" s="1"/>
  <c r="G15" i="26"/>
  <c r="O14" i="26"/>
  <c r="L14" i="26"/>
  <c r="P14" i="26"/>
  <c r="G14" i="26"/>
  <c r="O13" i="26"/>
  <c r="L13" i="26"/>
  <c r="P13" i="26"/>
  <c r="G13" i="26"/>
  <c r="O12" i="26"/>
  <c r="L12" i="26"/>
  <c r="P12" i="26"/>
  <c r="Q12" i="26" s="1"/>
  <c r="G12" i="26"/>
  <c r="O11" i="26"/>
  <c r="L11" i="26"/>
  <c r="P11" i="26"/>
  <c r="Q11" i="26" s="1"/>
  <c r="G11" i="26"/>
  <c r="O10" i="26"/>
  <c r="L10" i="26"/>
  <c r="P10" i="26"/>
  <c r="G10" i="26"/>
  <c r="O9" i="26"/>
  <c r="L9" i="26"/>
  <c r="P9" i="26"/>
  <c r="Q9" i="26" s="1"/>
  <c r="G9" i="26"/>
  <c r="O8" i="26"/>
  <c r="L8" i="26"/>
  <c r="P8" i="26"/>
  <c r="Q8" i="26" s="1"/>
  <c r="G8" i="26"/>
  <c r="O7" i="26"/>
  <c r="L7" i="26"/>
  <c r="P7" i="26"/>
  <c r="G7" i="26"/>
  <c r="O6" i="26"/>
  <c r="L6" i="26"/>
  <c r="P6" i="26"/>
  <c r="U126" i="29" l="1"/>
  <c r="Q118" i="26"/>
  <c r="Q124" i="26"/>
  <c r="Q83" i="26"/>
  <c r="Q112" i="26"/>
  <c r="R112" i="26" s="1"/>
  <c r="S112" i="26" s="1"/>
  <c r="U112" i="26" s="1"/>
  <c r="V112" i="26" s="1"/>
  <c r="Q115" i="26"/>
  <c r="I124" i="26"/>
  <c r="Q119" i="26"/>
  <c r="I119" i="26"/>
  <c r="Q104" i="26"/>
  <c r="R104" i="26" s="1"/>
  <c r="S104" i="26" s="1"/>
  <c r="U104" i="26" s="1"/>
  <c r="V104" i="26" s="1"/>
  <c r="Q71" i="26"/>
  <c r="R71" i="26" s="1"/>
  <c r="S71" i="26" s="1"/>
  <c r="U71" i="26" s="1"/>
  <c r="V71" i="26" s="1"/>
  <c r="Q111" i="26"/>
  <c r="R111" i="26" s="1"/>
  <c r="S111" i="26" s="1"/>
  <c r="U111" i="26" s="1"/>
  <c r="V111" i="26" s="1"/>
  <c r="Q114" i="26"/>
  <c r="R114" i="26" s="1"/>
  <c r="S114" i="26" s="1"/>
  <c r="U114" i="26" s="1"/>
  <c r="V114" i="26" s="1"/>
  <c r="I111" i="26"/>
  <c r="Q105" i="26"/>
  <c r="Q49" i="26"/>
  <c r="I73" i="26"/>
  <c r="Q76" i="26"/>
  <c r="Q92" i="26"/>
  <c r="Q97" i="26"/>
  <c r="Q100" i="26"/>
  <c r="R100" i="26" s="1"/>
  <c r="S100" i="26" s="1"/>
  <c r="U100" i="26" s="1"/>
  <c r="V100" i="26" s="1"/>
  <c r="Q103" i="26"/>
  <c r="R103" i="26" s="1"/>
  <c r="S103" i="26" s="1"/>
  <c r="U103" i="26" s="1"/>
  <c r="V103" i="26" s="1"/>
  <c r="Q7" i="26"/>
  <c r="R7" i="26" s="1"/>
  <c r="S7" i="26" s="1"/>
  <c r="U7" i="26" s="1"/>
  <c r="I51" i="26"/>
  <c r="I81" i="26"/>
  <c r="Q54" i="26"/>
  <c r="R54" i="26" s="1"/>
  <c r="S54" i="26" s="1"/>
  <c r="U54" i="26" s="1"/>
  <c r="V54" i="26" s="1"/>
  <c r="I92" i="26"/>
  <c r="Q10" i="26"/>
  <c r="Q44" i="26"/>
  <c r="Q52" i="26"/>
  <c r="Q98" i="26"/>
  <c r="R98" i="26" s="1"/>
  <c r="S98" i="26" s="1"/>
  <c r="U98" i="26" s="1"/>
  <c r="V98" i="26" s="1"/>
  <c r="I109" i="26"/>
  <c r="I69" i="26"/>
  <c r="I104" i="26"/>
  <c r="Q22" i="26"/>
  <c r="R22" i="26" s="1"/>
  <c r="S22" i="26" s="1"/>
  <c r="U22" i="26" s="1"/>
  <c r="Q107" i="26"/>
  <c r="R107" i="26" s="1"/>
  <c r="S107" i="26" s="1"/>
  <c r="U107" i="26" s="1"/>
  <c r="V107" i="26" s="1"/>
  <c r="I121" i="26"/>
  <c r="Q48" i="26"/>
  <c r="R48" i="26" s="1"/>
  <c r="S48" i="26" s="1"/>
  <c r="U48" i="26" s="1"/>
  <c r="V48" i="26" s="1"/>
  <c r="Q64" i="26"/>
  <c r="Q75" i="26"/>
  <c r="Q91" i="26"/>
  <c r="I96" i="26"/>
  <c r="Q117" i="26"/>
  <c r="Q27" i="26"/>
  <c r="R27" i="26" s="1"/>
  <c r="S27" i="26" s="1"/>
  <c r="U27" i="26" s="1"/>
  <c r="Q19" i="26"/>
  <c r="R19" i="26" s="1"/>
  <c r="S19" i="26" s="1"/>
  <c r="U19" i="26" s="1"/>
  <c r="Q69" i="26"/>
  <c r="R69" i="26" s="1"/>
  <c r="S69" i="26" s="1"/>
  <c r="U69" i="26" s="1"/>
  <c r="V69" i="26" s="1"/>
  <c r="Q82" i="26"/>
  <c r="R82" i="26" s="1"/>
  <c r="S82" i="26" s="1"/>
  <c r="U82" i="26" s="1"/>
  <c r="V82" i="26" s="1"/>
  <c r="Q25" i="26"/>
  <c r="R25" i="26" s="1"/>
  <c r="S25" i="26" s="1"/>
  <c r="U25" i="26" s="1"/>
  <c r="Q31" i="26"/>
  <c r="R31" i="26" s="1"/>
  <c r="S31" i="26" s="1"/>
  <c r="U31" i="26" s="1"/>
  <c r="Q34" i="26"/>
  <c r="R34" i="26" s="1"/>
  <c r="S34" i="26" s="1"/>
  <c r="U34" i="26" s="1"/>
  <c r="Q37" i="26"/>
  <c r="Q40" i="26"/>
  <c r="Q43" i="26"/>
  <c r="R43" i="26" s="1"/>
  <c r="S43" i="26" s="1"/>
  <c r="U43" i="26" s="1"/>
  <c r="Q46" i="26"/>
  <c r="R46" i="26" s="1"/>
  <c r="S46" i="26" s="1"/>
  <c r="U46" i="26" s="1"/>
  <c r="V46" i="26" s="1"/>
  <c r="I50" i="26"/>
  <c r="I52" i="26"/>
  <c r="I54" i="26"/>
  <c r="I97" i="26"/>
  <c r="I107" i="26"/>
  <c r="I118" i="26"/>
  <c r="P108" i="26"/>
  <c r="Q108" i="26" s="1"/>
  <c r="R108" i="26" s="1"/>
  <c r="S108" i="26" s="1"/>
  <c r="U108" i="26" s="1"/>
  <c r="V108" i="26" s="1"/>
  <c r="Q14" i="26"/>
  <c r="R14" i="26" s="1"/>
  <c r="S14" i="26" s="1"/>
  <c r="U14" i="26" s="1"/>
  <c r="Q28" i="26"/>
  <c r="R28" i="26" s="1"/>
  <c r="S28" i="26" s="1"/>
  <c r="U28" i="26" s="1"/>
  <c r="Q17" i="26"/>
  <c r="Q67" i="26"/>
  <c r="R67" i="26" s="1"/>
  <c r="S67" i="26" s="1"/>
  <c r="U67" i="26" s="1"/>
  <c r="V67" i="26" s="1"/>
  <c r="I100" i="26"/>
  <c r="Q121" i="26"/>
  <c r="R121" i="26" s="1"/>
  <c r="S121" i="26" s="1"/>
  <c r="U121" i="26" s="1"/>
  <c r="V121" i="26" s="1"/>
  <c r="Q20" i="26"/>
  <c r="R20" i="26" s="1"/>
  <c r="S20" i="26" s="1"/>
  <c r="U20" i="26" s="1"/>
  <c r="Q23" i="26"/>
  <c r="R23" i="26" s="1"/>
  <c r="S23" i="26" s="1"/>
  <c r="U23" i="26" s="1"/>
  <c r="I57" i="26"/>
  <c r="Q60" i="26"/>
  <c r="R60" i="26" s="1"/>
  <c r="S60" i="26" s="1"/>
  <c r="U60" i="26" s="1"/>
  <c r="V60" i="26" s="1"/>
  <c r="I75" i="26"/>
  <c r="I83" i="26"/>
  <c r="Q93" i="26"/>
  <c r="R93" i="26" s="1"/>
  <c r="S93" i="26" s="1"/>
  <c r="U93" i="26" s="1"/>
  <c r="V93" i="26" s="1"/>
  <c r="I105" i="26"/>
  <c r="Q78" i="26"/>
  <c r="Q81" i="26"/>
  <c r="R81" i="26" s="1"/>
  <c r="S81" i="26" s="1"/>
  <c r="U81" i="26" s="1"/>
  <c r="V81" i="26" s="1"/>
  <c r="Q87" i="26"/>
  <c r="Q18" i="26"/>
  <c r="R18" i="26" s="1"/>
  <c r="S18" i="26" s="1"/>
  <c r="U18" i="26" s="1"/>
  <c r="P80" i="26"/>
  <c r="Q80" i="26" s="1"/>
  <c r="R80" i="26" s="1"/>
  <c r="S80" i="26" s="1"/>
  <c r="U80" i="26" s="1"/>
  <c r="V80" i="26" s="1"/>
  <c r="Q13" i="26"/>
  <c r="R13" i="26" s="1"/>
  <c r="S13" i="26" s="1"/>
  <c r="U13" i="26" s="1"/>
  <c r="Q30" i="26"/>
  <c r="R30" i="26" s="1"/>
  <c r="S30" i="26" s="1"/>
  <c r="U30" i="26" s="1"/>
  <c r="Q33" i="26"/>
  <c r="R33" i="26" s="1"/>
  <c r="S33" i="26" s="1"/>
  <c r="U33" i="26" s="1"/>
  <c r="Q36" i="26"/>
  <c r="R36" i="26" s="1"/>
  <c r="S36" i="26" s="1"/>
  <c r="U36" i="26" s="1"/>
  <c r="Q39" i="26"/>
  <c r="R39" i="26" s="1"/>
  <c r="S39" i="26" s="1"/>
  <c r="U39" i="26" s="1"/>
  <c r="Q42" i="26"/>
  <c r="R42" i="26" s="1"/>
  <c r="S42" i="26" s="1"/>
  <c r="U42" i="26" s="1"/>
  <c r="Q45" i="26"/>
  <c r="I71" i="26"/>
  <c r="Q109" i="26"/>
  <c r="R109" i="26" s="1"/>
  <c r="S109" i="26" s="1"/>
  <c r="U109" i="26" s="1"/>
  <c r="V109" i="26" s="1"/>
  <c r="Q24" i="26"/>
  <c r="R24" i="26" s="1"/>
  <c r="S24" i="26" s="1"/>
  <c r="U24" i="26" s="1"/>
  <c r="Q16" i="26"/>
  <c r="R16" i="26" s="1"/>
  <c r="S16" i="26" s="1"/>
  <c r="U16" i="26" s="1"/>
  <c r="Q66" i="26"/>
  <c r="R66" i="26" s="1"/>
  <c r="S66" i="26" s="1"/>
  <c r="U66" i="26" s="1"/>
  <c r="V66" i="26" s="1"/>
  <c r="R26" i="26"/>
  <c r="S26" i="26" s="1"/>
  <c r="U26" i="26" s="1"/>
  <c r="R50" i="26"/>
  <c r="S50" i="26" s="1"/>
  <c r="U50" i="26" s="1"/>
  <c r="V50" i="26" s="1"/>
  <c r="R96" i="26"/>
  <c r="S96" i="26" s="1"/>
  <c r="U96" i="26" s="1"/>
  <c r="V96" i="26" s="1"/>
  <c r="R8" i="26"/>
  <c r="S8" i="26" s="1"/>
  <c r="U8" i="26" s="1"/>
  <c r="R10" i="26"/>
  <c r="S10" i="26" s="1"/>
  <c r="U10" i="26" s="1"/>
  <c r="R32" i="26"/>
  <c r="S32" i="26" s="1"/>
  <c r="U32" i="26" s="1"/>
  <c r="R15" i="26"/>
  <c r="S15" i="26" s="1"/>
  <c r="U15" i="26" s="1"/>
  <c r="R12" i="26"/>
  <c r="S12" i="26" s="1"/>
  <c r="U12" i="26" s="1"/>
  <c r="R29" i="26"/>
  <c r="S29" i="26" s="1"/>
  <c r="U29" i="26" s="1"/>
  <c r="R38" i="26"/>
  <c r="S38" i="26" s="1"/>
  <c r="U38" i="26" s="1"/>
  <c r="R40" i="26"/>
  <c r="S40" i="26" s="1"/>
  <c r="U40" i="26" s="1"/>
  <c r="R44" i="26"/>
  <c r="S44" i="26" s="1"/>
  <c r="U44" i="26" s="1"/>
  <c r="R45" i="26"/>
  <c r="S45" i="26" s="1"/>
  <c r="U45" i="26" s="1"/>
  <c r="R85" i="26"/>
  <c r="S85" i="26" s="1"/>
  <c r="U85" i="26" s="1"/>
  <c r="V85" i="26" s="1"/>
  <c r="R125" i="26"/>
  <c r="S125" i="26" s="1"/>
  <c r="U125" i="26" s="1"/>
  <c r="V125" i="26" s="1"/>
  <c r="R116" i="26"/>
  <c r="S116" i="26" s="1"/>
  <c r="U116" i="26" s="1"/>
  <c r="V116" i="26" s="1"/>
  <c r="R95" i="26"/>
  <c r="S95" i="26" s="1"/>
  <c r="U95" i="26" s="1"/>
  <c r="V95" i="26" s="1"/>
  <c r="R9" i="26"/>
  <c r="S9" i="26" s="1"/>
  <c r="U9" i="26" s="1"/>
  <c r="R35" i="26"/>
  <c r="S35" i="26" s="1"/>
  <c r="U35" i="26" s="1"/>
  <c r="R37" i="26"/>
  <c r="S37" i="26" s="1"/>
  <c r="U37" i="26" s="1"/>
  <c r="R41" i="26"/>
  <c r="S41" i="26" s="1"/>
  <c r="U41" i="26" s="1"/>
  <c r="R17" i="26"/>
  <c r="S17" i="26" s="1"/>
  <c r="U17" i="26" s="1"/>
  <c r="R49" i="26"/>
  <c r="S49" i="26" s="1"/>
  <c r="U49" i="26" s="1"/>
  <c r="V49" i="26" s="1"/>
  <c r="R51" i="26"/>
  <c r="S51" i="26" s="1"/>
  <c r="U51" i="26" s="1"/>
  <c r="V51" i="26" s="1"/>
  <c r="R73" i="26"/>
  <c r="S73" i="26" s="1"/>
  <c r="U73" i="26" s="1"/>
  <c r="V73" i="26" s="1"/>
  <c r="R78" i="26"/>
  <c r="S78" i="26" s="1"/>
  <c r="U78" i="26" s="1"/>
  <c r="V78" i="26" s="1"/>
  <c r="R86" i="26"/>
  <c r="S86" i="26" s="1"/>
  <c r="U86" i="26" s="1"/>
  <c r="V86" i="26" s="1"/>
  <c r="R120" i="26"/>
  <c r="S120" i="26" s="1"/>
  <c r="U120" i="26" s="1"/>
  <c r="V120" i="26" s="1"/>
  <c r="R124" i="26"/>
  <c r="S124" i="26" s="1"/>
  <c r="U124" i="26" s="1"/>
  <c r="V124" i="26" s="1"/>
  <c r="R115" i="26"/>
  <c r="S115" i="26" s="1"/>
  <c r="U115" i="26" s="1"/>
  <c r="V115" i="26" s="1"/>
  <c r="R92" i="26"/>
  <c r="S92" i="26" s="1"/>
  <c r="U92" i="26" s="1"/>
  <c r="V92" i="26" s="1"/>
  <c r="R79" i="26"/>
  <c r="S79" i="26" s="1"/>
  <c r="U79" i="26" s="1"/>
  <c r="V79" i="26" s="1"/>
  <c r="R53" i="26"/>
  <c r="S53" i="26" s="1"/>
  <c r="U53" i="26" s="1"/>
  <c r="V53" i="26" s="1"/>
  <c r="R57" i="26"/>
  <c r="S57" i="26" s="1"/>
  <c r="U57" i="26" s="1"/>
  <c r="V57" i="26" s="1"/>
  <c r="R91" i="26"/>
  <c r="S91" i="26" s="1"/>
  <c r="U91" i="26" s="1"/>
  <c r="V91" i="26" s="1"/>
  <c r="R105" i="26"/>
  <c r="S105" i="26" s="1"/>
  <c r="U105" i="26" s="1"/>
  <c r="V105" i="26" s="1"/>
  <c r="R113" i="26"/>
  <c r="S113" i="26" s="1"/>
  <c r="U113" i="26" s="1"/>
  <c r="V113" i="26" s="1"/>
  <c r="R119" i="26"/>
  <c r="S119" i="26" s="1"/>
  <c r="U119" i="26" s="1"/>
  <c r="V119" i="26" s="1"/>
  <c r="R87" i="26"/>
  <c r="S87" i="26" s="1"/>
  <c r="U87" i="26" s="1"/>
  <c r="V87" i="26" s="1"/>
  <c r="R75" i="26"/>
  <c r="S75" i="26" s="1"/>
  <c r="U75" i="26" s="1"/>
  <c r="V75" i="26" s="1"/>
  <c r="R11" i="26"/>
  <c r="S11" i="26" s="1"/>
  <c r="U11" i="26" s="1"/>
  <c r="R21" i="26"/>
  <c r="S21" i="26" s="1"/>
  <c r="U21" i="26" s="1"/>
  <c r="R52" i="26"/>
  <c r="S52" i="26" s="1"/>
  <c r="U52" i="26" s="1"/>
  <c r="V52" i="26" s="1"/>
  <c r="R64" i="26"/>
  <c r="S64" i="26" s="1"/>
  <c r="U64" i="26" s="1"/>
  <c r="V64" i="26" s="1"/>
  <c r="R76" i="26"/>
  <c r="S76" i="26" s="1"/>
  <c r="U76" i="26" s="1"/>
  <c r="V76" i="26" s="1"/>
  <c r="R97" i="26"/>
  <c r="S97" i="26" s="1"/>
  <c r="U97" i="26" s="1"/>
  <c r="V97" i="26" s="1"/>
  <c r="R118" i="26"/>
  <c r="S118" i="26" s="1"/>
  <c r="U118" i="26" s="1"/>
  <c r="V118" i="26" s="1"/>
  <c r="R117" i="26"/>
  <c r="S117" i="26" s="1"/>
  <c r="U117" i="26" s="1"/>
  <c r="V117" i="26" s="1"/>
  <c r="R83" i="26"/>
  <c r="S83" i="26" s="1"/>
  <c r="U83" i="26" s="1"/>
  <c r="V83" i="26" s="1"/>
  <c r="P55" i="26"/>
  <c r="Q55" i="26" s="1"/>
  <c r="R55" i="26" s="1"/>
  <c r="S55" i="26" s="1"/>
  <c r="U55" i="26" s="1"/>
  <c r="V55" i="26" s="1"/>
  <c r="P47" i="26"/>
  <c r="I58" i="26"/>
  <c r="P58" i="26"/>
  <c r="Q58" i="26" s="1"/>
  <c r="R58" i="26" s="1"/>
  <c r="S58" i="26" s="1"/>
  <c r="U58" i="26" s="1"/>
  <c r="V58" i="26" s="1"/>
  <c r="G70" i="26"/>
  <c r="G98" i="26"/>
  <c r="G99" i="26"/>
  <c r="I101" i="26"/>
  <c r="P101" i="26"/>
  <c r="Q101" i="26" s="1"/>
  <c r="G114" i="26"/>
  <c r="G115" i="26"/>
  <c r="P122" i="26"/>
  <c r="Q122" i="26" s="1"/>
  <c r="I122" i="26"/>
  <c r="I48" i="26"/>
  <c r="I49" i="26"/>
  <c r="G51" i="26"/>
  <c r="I53" i="26"/>
  <c r="G54" i="26"/>
  <c r="I61" i="26"/>
  <c r="Q61" i="26"/>
  <c r="G67" i="26"/>
  <c r="I70" i="26"/>
  <c r="P70" i="26"/>
  <c r="Q70" i="26" s="1"/>
  <c r="G71" i="26"/>
  <c r="G74" i="26"/>
  <c r="I91" i="26"/>
  <c r="G95" i="26"/>
  <c r="G100" i="26"/>
  <c r="P102" i="26"/>
  <c r="Q102" i="26" s="1"/>
  <c r="I102" i="26"/>
  <c r="P123" i="26"/>
  <c r="Q123" i="26" s="1"/>
  <c r="R123" i="26" s="1"/>
  <c r="S123" i="26" s="1"/>
  <c r="U123" i="26" s="1"/>
  <c r="V123" i="26" s="1"/>
  <c r="P84" i="26"/>
  <c r="Q84" i="26" s="1"/>
  <c r="P68" i="26"/>
  <c r="Q68" i="26" s="1"/>
  <c r="G62" i="26"/>
  <c r="G63" i="26"/>
  <c r="G65" i="26"/>
  <c r="I74" i="26"/>
  <c r="P74" i="26"/>
  <c r="Q74" i="26" s="1"/>
  <c r="R74" i="26" s="1"/>
  <c r="S74" i="26" s="1"/>
  <c r="U74" i="26" s="1"/>
  <c r="V74" i="26" s="1"/>
  <c r="G75" i="26"/>
  <c r="I77" i="26"/>
  <c r="P77" i="26"/>
  <c r="Q77" i="26" s="1"/>
  <c r="G106" i="26"/>
  <c r="G107" i="26"/>
  <c r="G110" i="26"/>
  <c r="G111" i="26"/>
  <c r="G119" i="26"/>
  <c r="P99" i="26"/>
  <c r="Q99" i="26" s="1"/>
  <c r="P59" i="26"/>
  <c r="Q59" i="26" s="1"/>
  <c r="G58" i="26"/>
  <c r="G59" i="26"/>
  <c r="I62" i="26"/>
  <c r="P62" i="26"/>
  <c r="Q62" i="26" s="1"/>
  <c r="I65" i="26"/>
  <c r="P65" i="26"/>
  <c r="Q65" i="26" s="1"/>
  <c r="G82" i="26"/>
  <c r="G83" i="26"/>
  <c r="I89" i="26"/>
  <c r="P88" i="26"/>
  <c r="Q88" i="26" s="1"/>
  <c r="R88" i="26" s="1"/>
  <c r="S88" i="26" s="1"/>
  <c r="U88" i="26" s="1"/>
  <c r="V88" i="26" s="1"/>
  <c r="P72" i="26"/>
  <c r="Q72" i="26" s="1"/>
  <c r="R72" i="26" s="1"/>
  <c r="S72" i="26" s="1"/>
  <c r="U72" i="26" s="1"/>
  <c r="V72" i="26" s="1"/>
  <c r="P56" i="26"/>
  <c r="Q56" i="26" s="1"/>
  <c r="R56" i="26" s="1"/>
  <c r="S56" i="26" s="1"/>
  <c r="U56" i="26" s="1"/>
  <c r="V56" i="26" s="1"/>
  <c r="G91" i="26"/>
  <c r="I93" i="26"/>
  <c r="G118" i="26"/>
  <c r="G123" i="26"/>
  <c r="I125" i="26"/>
  <c r="P110" i="26"/>
  <c r="Q110" i="26" s="1"/>
  <c r="P106" i="26"/>
  <c r="Q106" i="26" s="1"/>
  <c r="R106" i="26" s="1"/>
  <c r="S106" i="26" s="1"/>
  <c r="U106" i="26" s="1"/>
  <c r="V106" i="26" s="1"/>
  <c r="P90" i="26"/>
  <c r="Q90" i="26" s="1"/>
  <c r="R90" i="26" s="1"/>
  <c r="S90" i="26" s="1"/>
  <c r="U90" i="26" s="1"/>
  <c r="V90" i="26" s="1"/>
  <c r="I9" i="26"/>
  <c r="Q6" i="26"/>
  <c r="I6" i="26"/>
  <c r="I10" i="26"/>
  <c r="I14" i="26"/>
  <c r="I7" i="26"/>
  <c r="I11" i="26"/>
  <c r="I15" i="26"/>
  <c r="I19" i="26"/>
  <c r="I23" i="26"/>
  <c r="E126" i="26"/>
  <c r="I8" i="26"/>
  <c r="I12" i="26"/>
  <c r="I16" i="26"/>
  <c r="I20" i="26"/>
  <c r="I24" i="26"/>
  <c r="I26" i="26"/>
  <c r="I28" i="26"/>
  <c r="I30" i="26"/>
  <c r="I32" i="26"/>
  <c r="I34" i="26"/>
  <c r="I36" i="26"/>
  <c r="I38" i="26"/>
  <c r="I40" i="26"/>
  <c r="I42" i="26"/>
  <c r="I44" i="26"/>
  <c r="I46" i="26"/>
  <c r="I112" i="26"/>
  <c r="I113" i="26"/>
  <c r="I114" i="26"/>
  <c r="I115" i="26"/>
  <c r="I116" i="26"/>
  <c r="I13" i="26"/>
  <c r="I17" i="26"/>
  <c r="I21" i="26"/>
  <c r="I76" i="26"/>
  <c r="I18" i="26"/>
  <c r="I22" i="26"/>
  <c r="I25" i="26"/>
  <c r="I27" i="26"/>
  <c r="I29" i="26"/>
  <c r="I31" i="26"/>
  <c r="I33" i="26"/>
  <c r="I35" i="26"/>
  <c r="I37" i="26"/>
  <c r="I39" i="26"/>
  <c r="I41" i="26"/>
  <c r="I43" i="26"/>
  <c r="I45" i="26"/>
  <c r="I67" i="26"/>
  <c r="I82" i="26"/>
  <c r="I85" i="26"/>
  <c r="I103" i="26"/>
  <c r="I120" i="26"/>
  <c r="I60" i="26"/>
  <c r="I64" i="26"/>
  <c r="I66" i="26"/>
  <c r="I98" i="26"/>
  <c r="I78" i="26"/>
  <c r="I79" i="26"/>
  <c r="I86" i="26"/>
  <c r="Q139" i="29" l="1"/>
  <c r="M13" i="27"/>
  <c r="R63" i="26"/>
  <c r="S63" i="26" s="1"/>
  <c r="U63" i="26" s="1"/>
  <c r="V63" i="26" s="1"/>
  <c r="R110" i="26"/>
  <c r="S110" i="26" s="1"/>
  <c r="U110" i="26" s="1"/>
  <c r="V110" i="26" s="1"/>
  <c r="R89" i="26"/>
  <c r="S89" i="26" s="1"/>
  <c r="U89" i="26" s="1"/>
  <c r="V89" i="26" s="1"/>
  <c r="R62" i="26"/>
  <c r="S62" i="26" s="1"/>
  <c r="U62" i="26" s="1"/>
  <c r="V62" i="26" s="1"/>
  <c r="R59" i="26"/>
  <c r="S59" i="26" s="1"/>
  <c r="U59" i="26" s="1"/>
  <c r="V59" i="26" s="1"/>
  <c r="R77" i="26"/>
  <c r="S77" i="26" s="1"/>
  <c r="U77" i="26" s="1"/>
  <c r="V77" i="26" s="1"/>
  <c r="R61" i="26"/>
  <c r="S61" i="26" s="1"/>
  <c r="U61" i="26" s="1"/>
  <c r="V61" i="26" s="1"/>
  <c r="Q47" i="26"/>
  <c r="R47" i="26" s="1"/>
  <c r="S47" i="26" s="1"/>
  <c r="U47" i="26" s="1"/>
  <c r="V47" i="26" s="1"/>
  <c r="R94" i="26"/>
  <c r="S94" i="26" s="1"/>
  <c r="U94" i="26" s="1"/>
  <c r="V94" i="26" s="1"/>
  <c r="R65" i="26"/>
  <c r="S65" i="26" s="1"/>
  <c r="U65" i="26" s="1"/>
  <c r="V65" i="26" s="1"/>
  <c r="R99" i="26"/>
  <c r="S99" i="26" s="1"/>
  <c r="U99" i="26" s="1"/>
  <c r="V99" i="26" s="1"/>
  <c r="R68" i="26"/>
  <c r="S68" i="26" s="1"/>
  <c r="U68" i="26" s="1"/>
  <c r="V68" i="26" s="1"/>
  <c r="R102" i="26"/>
  <c r="S102" i="26" s="1"/>
  <c r="U102" i="26" s="1"/>
  <c r="V102" i="26" s="1"/>
  <c r="R70" i="26"/>
  <c r="S70" i="26" s="1"/>
  <c r="U70" i="26" s="1"/>
  <c r="V70" i="26" s="1"/>
  <c r="R122" i="26"/>
  <c r="S122" i="26" s="1"/>
  <c r="U122" i="26" s="1"/>
  <c r="V122" i="26" s="1"/>
  <c r="R84" i="26"/>
  <c r="S84" i="26" s="1"/>
  <c r="U84" i="26" s="1"/>
  <c r="V84" i="26" s="1"/>
  <c r="R101" i="26"/>
  <c r="S101" i="26" s="1"/>
  <c r="U101" i="26" s="1"/>
  <c r="V101" i="26" s="1"/>
  <c r="G126" i="26"/>
  <c r="V14" i="26"/>
  <c r="V43" i="26"/>
  <c r="V35" i="26"/>
  <c r="V31" i="26"/>
  <c r="V27" i="26"/>
  <c r="V22" i="26"/>
  <c r="V21" i="26"/>
  <c r="V13" i="26"/>
  <c r="V44" i="26"/>
  <c r="V40" i="26"/>
  <c r="V36" i="26"/>
  <c r="V32" i="26"/>
  <c r="V28" i="26"/>
  <c r="V24" i="26"/>
  <c r="V16" i="26"/>
  <c r="V8" i="26"/>
  <c r="V19" i="26"/>
  <c r="R6" i="26"/>
  <c r="S6" i="26" s="1"/>
  <c r="U6" i="26" s="1"/>
  <c r="V39" i="26"/>
  <c r="V23" i="26"/>
  <c r="V15" i="26"/>
  <c r="V7" i="26"/>
  <c r="V10" i="26"/>
  <c r="V9" i="26"/>
  <c r="V11" i="26"/>
  <c r="V45" i="26"/>
  <c r="V41" i="26"/>
  <c r="V37" i="26"/>
  <c r="V33" i="26"/>
  <c r="V29" i="26"/>
  <c r="V25" i="26"/>
  <c r="V18" i="26"/>
  <c r="V17" i="26"/>
  <c r="V42" i="26"/>
  <c r="V38" i="26"/>
  <c r="V34" i="26"/>
  <c r="V30" i="26"/>
  <c r="V26" i="26"/>
  <c r="V20" i="26"/>
  <c r="V12" i="26"/>
  <c r="U126" i="26" l="1"/>
  <c r="Q139" i="26" s="1"/>
  <c r="V6" i="26"/>
  <c r="Q126" i="26"/>
  <c r="J150" i="29"/>
</calcChain>
</file>

<file path=xl/comments1.xml><?xml version="1.0" encoding="utf-8"?>
<comments xmlns="http://schemas.openxmlformats.org/spreadsheetml/2006/main">
  <authors>
    <author>Abhishek Sharma</author>
  </authors>
  <commentList>
    <comment ref="B1" authorId="0" shapeId="0">
      <text>
        <r>
          <rPr>
            <b/>
            <sz val="9"/>
            <color indexed="81"/>
            <rFont val="Tahoma"/>
            <charset val="1"/>
          </rPr>
          <t>Abhishek Sharma:</t>
        </r>
        <r>
          <rPr>
            <sz val="9"/>
            <color indexed="81"/>
            <rFont val="Tahoma"/>
            <charset val="1"/>
          </rPr>
          <t xml:space="preserve">
</t>
        </r>
      </text>
    </comment>
  </commentList>
</comments>
</file>

<file path=xl/comments2.xml><?xml version="1.0" encoding="utf-8"?>
<comments xmlns="http://schemas.openxmlformats.org/spreadsheetml/2006/main">
  <authors>
    <author>Abhishek Sharma</author>
  </authors>
  <commentList>
    <comment ref="B1" authorId="0" shapeId="0">
      <text>
        <r>
          <rPr>
            <b/>
            <sz val="9"/>
            <color indexed="81"/>
            <rFont val="Tahoma"/>
            <charset val="1"/>
          </rPr>
          <t>Abhishek Sharma:</t>
        </r>
        <r>
          <rPr>
            <sz val="9"/>
            <color indexed="81"/>
            <rFont val="Tahoma"/>
            <charset val="1"/>
          </rPr>
          <t xml:space="preserve">
</t>
        </r>
      </text>
    </comment>
  </commentList>
</comments>
</file>

<file path=xl/sharedStrings.xml><?xml version="1.0" encoding="utf-8"?>
<sst xmlns="http://schemas.openxmlformats.org/spreadsheetml/2006/main" count="969" uniqueCount="268">
  <si>
    <t>A</t>
  </si>
  <si>
    <t>B</t>
  </si>
  <si>
    <t>C</t>
  </si>
  <si>
    <t>E</t>
  </si>
  <si>
    <t>Total</t>
  </si>
  <si>
    <t>TOTAL</t>
  </si>
  <si>
    <t>Particular</t>
  </si>
  <si>
    <t xml:space="preserve">                                                                                                    </t>
  </si>
  <si>
    <t>SR. No.</t>
  </si>
  <si>
    <t>Type of Structure</t>
  </si>
  <si>
    <r>
      <t xml:space="preserve">Area 
</t>
    </r>
    <r>
      <rPr>
        <b/>
        <i/>
        <sz val="10"/>
        <rFont val="Calibri"/>
        <family val="2"/>
        <scheme val="minor"/>
      </rPr>
      <t>(in sq.ft)</t>
    </r>
  </si>
  <si>
    <r>
      <t xml:space="preserve">Area 
</t>
    </r>
    <r>
      <rPr>
        <b/>
        <i/>
        <sz val="10"/>
        <rFont val="Calibri"/>
        <family val="2"/>
        <scheme val="minor"/>
      </rPr>
      <t>(in sq.mtr)</t>
    </r>
  </si>
  <si>
    <r>
      <t xml:space="preserve">Height </t>
    </r>
    <r>
      <rPr>
        <b/>
        <i/>
        <sz val="10"/>
        <rFont val="Calibri"/>
        <family val="2"/>
        <scheme val="minor"/>
      </rPr>
      <t>(in ft.)</t>
    </r>
  </si>
  <si>
    <r>
      <t xml:space="preserve">Height </t>
    </r>
    <r>
      <rPr>
        <b/>
        <i/>
        <sz val="10"/>
        <rFont val="Calibri"/>
        <family val="2"/>
        <scheme val="minor"/>
      </rPr>
      <t>(in mtr.)</t>
    </r>
  </si>
  <si>
    <t>Year of Construction</t>
  </si>
  <si>
    <t xml:space="preserve">Year of Valuation </t>
  </si>
  <si>
    <r>
      <t xml:space="preserve">Total Life Consumed 
</t>
    </r>
    <r>
      <rPr>
        <b/>
        <i/>
        <sz val="10"/>
        <rFont val="Calibri"/>
        <family val="2"/>
        <scheme val="minor"/>
      </rPr>
      <t>(in years)</t>
    </r>
  </si>
  <si>
    <r>
      <t xml:space="preserve">Total Economical Life
</t>
    </r>
    <r>
      <rPr>
        <b/>
        <i/>
        <sz val="10"/>
        <rFont val="Calibri"/>
        <family val="2"/>
        <scheme val="minor"/>
      </rPr>
      <t>(in years)</t>
    </r>
  </si>
  <si>
    <t>Salvage value</t>
  </si>
  <si>
    <t>Depreciation Rate</t>
  </si>
  <si>
    <r>
      <t xml:space="preserve">Plinth Area  Rate 
</t>
    </r>
    <r>
      <rPr>
        <b/>
        <i/>
        <sz val="10"/>
        <rFont val="Calibri"/>
        <family val="2"/>
        <scheme val="minor"/>
      </rPr>
      <t>(in per sq.ft)</t>
    </r>
  </si>
  <si>
    <t>Gross Replacement Value
(INR)</t>
  </si>
  <si>
    <t xml:space="preserve">Depreciation
(INR) </t>
  </si>
  <si>
    <t>Depreciated Value
(INR)</t>
  </si>
  <si>
    <t>Discounting Factor</t>
  </si>
  <si>
    <t>Depreciated Replacement Market Value
(INR)</t>
  </si>
  <si>
    <t>Remarks</t>
  </si>
  <si>
    <t>2. GCRC of tanks had been calculated on the basis of thir capacity.</t>
  </si>
  <si>
    <t>3. All the structure that has been taken in the area statemnet belonging to M/s. HNGIL, Nashik plant situated at Malegaon Industrial Area.</t>
  </si>
  <si>
    <t>4. The valuation is done by considering the depreciated replacement cost approach.</t>
  </si>
  <si>
    <t>CONSTRUCTION COST AS PER MARKET TRENDS</t>
  </si>
  <si>
    <t xml:space="preserve">5. We have considered the land rate taking into consideration the  infrastructure like roads, sewerline etc. Therefore, we have not considered additional valuation for the same. </t>
  </si>
  <si>
    <t>boundary wall in sq. ft.</t>
  </si>
  <si>
    <t>boundary wall in sq. ft./ 8 (height)</t>
  </si>
  <si>
    <t>B/3.28 (RUNNING METRE)</t>
  </si>
  <si>
    <t>RUNNING METER*1500</t>
  </si>
  <si>
    <t>BOUNDARY WALL CALCULATIONS</t>
  </si>
  <si>
    <t>provided by company</t>
  </si>
  <si>
    <t>last year value</t>
  </si>
  <si>
    <t>1. All the details pertaing to the building area statement such as area, floor, etc has been taken from the building sheet provided by the company which had been cross verified during sample site survey.</t>
  </si>
  <si>
    <t>RMS UNLOADING PLATFORM</t>
  </si>
  <si>
    <t>RMS GODOWNS</t>
  </si>
  <si>
    <t>BANBURY &amp; MIXING # 1,2 &amp; 3 BASEMENT</t>
  </si>
  <si>
    <t>BANBURY &amp; MIXING # 1,2 &amp; 3 GROUND FLOOR</t>
  </si>
  <si>
    <t>BANBURY &amp; MIXING # 1,2 &amp; 3, 1st FLOOR</t>
  </si>
  <si>
    <t>BANBURY &amp; MIXING # 1,2 &amp; 3, 2nd FLOOR</t>
  </si>
  <si>
    <t>BANBURY &amp; MIXING # 4 BASEMENT</t>
  </si>
  <si>
    <t>BANBURY &amp; MIXING # 4 GROUND FLOOR</t>
  </si>
  <si>
    <t>BANBURY &amp; MIXING # 4, 1st FLOOR</t>
  </si>
  <si>
    <t>BANBURY &amp; MIXING # 4, 2nd FLOOR</t>
  </si>
  <si>
    <t>DIP UNIT</t>
  </si>
  <si>
    <t>THERMOPACK</t>
  </si>
  <si>
    <t>STOCK PREPARATION: 4-ROLL CALENDAR / DUAL EXTRUDER</t>
  </si>
  <si>
    <t>STOCK PREPERATION TRIPLEX EXTRUDER</t>
  </si>
  <si>
    <t>STOCK PREPERATION DUPLEX EXTRUDER</t>
  </si>
  <si>
    <t>TYRE BUILDING HALL # 1 ( Precast)</t>
  </si>
  <si>
    <t>TYRE BUILDING HALL # 2 ( Precast)</t>
  </si>
  <si>
    <t>TYRE BUILDING HALL # 3</t>
  </si>
  <si>
    <t>GREEN TYRE STORAGE</t>
  </si>
  <si>
    <t>TYRE CURING # 1,2 &amp; FINAL FINISH</t>
  </si>
  <si>
    <t>TYRE CURING # 4 &amp; FINAL FINISH, (PRECAST COFFER SLAB)</t>
  </si>
  <si>
    <t>TYRE CURING # 5 &amp; FINAL FINISH, (PRECAST COFFER SLAB)</t>
  </si>
  <si>
    <t>TYRE CURING # 6 &amp; FINAL FINISH</t>
  </si>
  <si>
    <t>TYRE INSPECTION (MEZZ. FLOOR)</t>
  </si>
  <si>
    <t>FGWH # 1,2 (GROUND FLOOR)</t>
  </si>
  <si>
    <t>FGWH # 1,2 (MEZZ. FLOOR), STRUCTURAL</t>
  </si>
  <si>
    <t>FGWH # 3  (GROUND FLOOR)</t>
  </si>
  <si>
    <t xml:space="preserve">FGWH # 3  (MEZZ. FLOOR), RCC </t>
  </si>
  <si>
    <t xml:space="preserve">FGWH # 4  (GROUND FLOOR) </t>
  </si>
  <si>
    <t>FGWH # 4  (MEZZ. FLOOR), RCC</t>
  </si>
  <si>
    <t>FGWH # 5</t>
  </si>
  <si>
    <t>ANNEXE GROUND  FLOOR</t>
  </si>
  <si>
    <t>TYRE REPAIR</t>
  </si>
  <si>
    <t>TYRE TESTING</t>
  </si>
  <si>
    <t>AHU &amp; TIOLET</t>
  </si>
  <si>
    <t>MOULD SHOP</t>
  </si>
  <si>
    <t>SUB STATION &amp; TRANSFORMER (PCC# 3)</t>
  </si>
  <si>
    <t>ECS ROOM</t>
  </si>
  <si>
    <t>TYRE  CAFÉ (PRODUCT GALLERY)</t>
  </si>
  <si>
    <t>LABORATORY</t>
  </si>
  <si>
    <t>BU 2 OFFICE &amp; CHANGING ROOM</t>
  </si>
  <si>
    <t>ENTYR GATE</t>
  </si>
  <si>
    <t>EMMERGENCY STORE / DOJO ROOM</t>
  </si>
  <si>
    <t>LINER REROLLING AREA</t>
  </si>
  <si>
    <t>WORK SHOP</t>
  </si>
  <si>
    <t>AC CONTROL ROOM &amp; TRANSFORMER ROOM</t>
  </si>
  <si>
    <t>DC CONTROL ROOM</t>
  </si>
  <si>
    <t>ANNEXE OFFICE</t>
  </si>
  <si>
    <t xml:space="preserve">BULK OIL </t>
  </si>
  <si>
    <t>CARBON BLACK STORAGE</t>
  </si>
  <si>
    <t>CARBON BLACK STORAGE (MACHINE ROOM)</t>
  </si>
  <si>
    <t>CARBON BLACK STORAGE (BLOWER &amp; CONTROL ROOM)</t>
  </si>
  <si>
    <t xml:space="preserve">ELASTO TANK </t>
  </si>
  <si>
    <t>ELASTO TANK (CONTROL ROOM)</t>
  </si>
  <si>
    <t>10 KL HSD TANK</t>
  </si>
  <si>
    <t>CPH (CEMENT HOUSE)</t>
  </si>
  <si>
    <t>COOLING TOWER NO. 1</t>
  </si>
  <si>
    <t>COMPRESSOR/CHILLER</t>
  </si>
  <si>
    <t>GENERAL STORES</t>
  </si>
  <si>
    <t>6.6 KVA STATION</t>
  </si>
  <si>
    <t>MATERIAL HAND. WORKSHOP</t>
  </si>
  <si>
    <t>BOILER HOUSE 20 TPH (MEZZ. FLOOR)</t>
  </si>
  <si>
    <t>BOILER HOUSE 20 TPH (RCC SLAB)</t>
  </si>
  <si>
    <t>COOLING TOWER NO. 2</t>
  </si>
  <si>
    <t>COOLING TOWER NO. 3</t>
  </si>
  <si>
    <t>D.M.PLANT</t>
  </si>
  <si>
    <t>D.M.PLANT YARD</t>
  </si>
  <si>
    <t>PLANT GATE</t>
  </si>
  <si>
    <t>WEIGH BRIDGE # 1 &amp; 2</t>
  </si>
  <si>
    <t>CHEMICAL HOUSE - 1</t>
  </si>
  <si>
    <t>CHEMICAL HOUSE - 2</t>
  </si>
  <si>
    <t>PUMP HOUSE</t>
  </si>
  <si>
    <t>CAR STAND</t>
  </si>
  <si>
    <t>MAIN GATE</t>
  </si>
  <si>
    <t>TRAINING CENTRE (HRD)</t>
  </si>
  <si>
    <t xml:space="preserve">CANTEEN </t>
  </si>
  <si>
    <t>WATER RESERVOIR TANK, CAPACITY: 2500 CUM.</t>
  </si>
  <si>
    <t>WATER RESERVOIR TANK, CAPACITY: 2475 CUM.</t>
  </si>
  <si>
    <t>WATER CLARIFLACULATOR, CAPACITY (630.0 CUM.)</t>
  </si>
  <si>
    <t>L.S/H.S. TANK</t>
  </si>
  <si>
    <t>50 KL HSD TANK</t>
  </si>
  <si>
    <t>SULPHUR ROOM</t>
  </si>
  <si>
    <t>132 KVA YARD SUB STATION</t>
  </si>
  <si>
    <t>ASH SILO (20 TPH BOILER)</t>
  </si>
  <si>
    <t>ASH SILO (32 TPH BOILER)</t>
  </si>
  <si>
    <t>TWIN O.H. TANK, CAPACITY: 68.0 CUM.</t>
  </si>
  <si>
    <t>BACK WASH TANK, CAPACITY: 150.CUM.</t>
  </si>
  <si>
    <t>COAL CRUSHER</t>
  </si>
  <si>
    <t>SECURITY BARRAK</t>
  </si>
  <si>
    <t>SECURITY BARRAK (R.S.O.)</t>
  </si>
  <si>
    <t>NEPTHA YARD (OPEN )</t>
  </si>
  <si>
    <t>CHIMNEY NEAR THERMOPACK</t>
  </si>
  <si>
    <t>CHIMNEY NEAR  20 T BOILER</t>
  </si>
  <si>
    <t>MEZANINE FLOORS IN PLANT</t>
  </si>
  <si>
    <t>NEW DG HOUSE - (PART-1)</t>
  </si>
  <si>
    <t>NEW DG HOUSE - (PART-2)</t>
  </si>
  <si>
    <t xml:space="preserve">COOLING TOWER NO. # 4. </t>
  </si>
  <si>
    <t>50 TPH BOILER HOUSE (GROUND FLOOR), NOT IN USE</t>
  </si>
  <si>
    <t>50 TPH BOILER HOUSE (MEZZ. FLOOR), NOT IN USE</t>
  </si>
  <si>
    <t>CHIMNEY NEAR  50 T BOILER</t>
  </si>
  <si>
    <t>TURBINE RCC ROOF,NOT IN USE</t>
  </si>
  <si>
    <t>TURBINE (MEZZ. FLOOR), NOT IN USE</t>
  </si>
  <si>
    <t>COOLING TOWER NO. # 5</t>
  </si>
  <si>
    <t>HAZARDUS STORE (2 NOS.)</t>
  </si>
  <si>
    <t>PROJECT GODOWN</t>
  </si>
  <si>
    <t>CONTRACTOR SHED</t>
  </si>
  <si>
    <t>BUS PARKING SHED</t>
  </si>
  <si>
    <t>BIKE / CYCLE PARKING SHED</t>
  </si>
  <si>
    <t>E.T. PLANT (EFFLUENT TREATMENT PLANT)</t>
  </si>
  <si>
    <t>S.T. PLANT (SEWER TREATMENT PLANT)</t>
  </si>
  <si>
    <t>32 TPH Boiler (MEZZ. FLOOR)</t>
  </si>
  <si>
    <t>32 TPH Boiler (RCC ROOF SLAB)</t>
  </si>
  <si>
    <t xml:space="preserve">BIO MASS SHED </t>
  </si>
  <si>
    <t xml:space="preserve">COAL STORAGE SHED </t>
  </si>
  <si>
    <t>ELECTRICAL WORK SHOP</t>
  </si>
  <si>
    <t>MOULD SHOP SHED</t>
  </si>
  <si>
    <t xml:space="preserve">MECHANICAL WORK SHOP </t>
  </si>
  <si>
    <t>Total Slabs/Floors</t>
  </si>
  <si>
    <t>RCC framed pillar beam column structure on RCC slab with RCC ROOF SLAB</t>
  </si>
  <si>
    <t>Galvalume sheet roofed building mounted on steel trusses resting on RCC column with GALVALUME ROOFING SHED</t>
  </si>
  <si>
    <t>RCC framed pillar beam column structure on RCC slab, Cast in SITU with RCC ROOF SLAB CAST IN SITU</t>
  </si>
  <si>
    <t>RCC framed pillar beam column structure on RCC slab, Precast Coffer Slab with RCC COFFERS ROOF SLAB</t>
  </si>
  <si>
    <t>RCC framed pillar beam column structure on RCC slab with RCC DECK SLAB ROOF</t>
  </si>
  <si>
    <t>RCC framed pillar beam column structure on RCC slab with RCC COFFERS ROOF SLAB</t>
  </si>
  <si>
    <t>RCC framed pillar beam column structure on RCC slab with RCC ROOF SLAB CAST IN SITU</t>
  </si>
  <si>
    <t>Galvalume sheet roofed building mounted on steel trusses resting on RCC column &amp; Brick Wall with GALVALUME ROOFING SHED</t>
  </si>
  <si>
    <t>Metallic framed pillar beam column structure on RCC slab with GALVALUME ROOFING SHED</t>
  </si>
  <si>
    <t>RCC framed pillar beam column structure on RCC slab with GALVALUME ROOFING SHED</t>
  </si>
  <si>
    <t>Galvalume roofed building mounted on PEB steel trusses resting on Metallic column with GALVALUME ROOFING SHED</t>
  </si>
  <si>
    <t>Open Yard with YARD</t>
  </si>
  <si>
    <t>Asbestos sheet roofed building mounted on steel trusses resting on RCC column &amp; Brick Wall with ASBESTOS ROOFING SHED</t>
  </si>
  <si>
    <t>Galvalume sheet roofed building mounted on steel trusses resting on RCC column &amp; Wall with GALVALUME ROOFING SHED</t>
  </si>
  <si>
    <t>Open Yard, Structure RC Flooring with YARD</t>
  </si>
  <si>
    <t>Galvalume sheet roofed building mounted on steel trusses resting on RCC column &amp; Wall with YARD</t>
  </si>
  <si>
    <t>GI &amp; Asbestos sheet roofed building mounted on steel trusses resting on RCC column &amp; Wall with ASBESTOS ROOFING SHED</t>
  </si>
  <si>
    <t>GI sheet roofed building mounted on steel trusses resting on Metallic Column &amp; Brick Wall with GI SHEET ROOFING SHED</t>
  </si>
  <si>
    <t>GI / Asbestos sheet roofed building mounted on steel trusses resting on Metallic Column &amp; Brick Wall with GI &amp; ASBESTOS SHEET ROOFING SHED</t>
  </si>
  <si>
    <t>Asbestos sheet roofed building mounted on steel trusses resting on Metallic Column &amp; Brick Wall with ASBESTOS SHEET ROOFING SHED</t>
  </si>
  <si>
    <t>Galvalume sheet roofed building mounted on steel trusses resting on Metallic Column &amp; Brick Wall with GALVALUME SHEET ROOFING SHED</t>
  </si>
  <si>
    <t>Open Yard, CAPACITY: 500.0 CUM/DAY with YARD</t>
  </si>
  <si>
    <t>Open Yard CAPACITY: 160 CUM./DAY with YARD</t>
  </si>
  <si>
    <t>Galvalume sheet roofed building mounted on steel trusses resting on Metallic Column &amp; Brick Wall with GALVALUME ROOFING SHED</t>
  </si>
  <si>
    <t>VALUATION OF BUILDING &amp; CIVIL STRUCTURE, PLOT NO. C-1, JK TYRE, BANMORE INDUSTRIAL AREA, MORENA</t>
  </si>
  <si>
    <t>Row Labels</t>
  </si>
  <si>
    <t>Grand Total</t>
  </si>
  <si>
    <t>Capacity
 (in litres)</t>
  </si>
  <si>
    <t>15-20</t>
  </si>
  <si>
    <t>20-25</t>
  </si>
  <si>
    <t>PARTICULAR</t>
  </si>
  <si>
    <t>0-5</t>
  </si>
  <si>
    <t>5-12</t>
  </si>
  <si>
    <t>12-15</t>
  </si>
  <si>
    <r>
      <t>B.      INFRA-STRUCTURE AREA  IN M</t>
    </r>
    <r>
      <rPr>
        <b/>
        <u/>
        <vertAlign val="superscript"/>
        <sz val="12"/>
        <rFont val="Arial"/>
        <family val="2"/>
      </rPr>
      <t>2</t>
    </r>
  </si>
  <si>
    <t>GARDEN AREA (LAWN)</t>
  </si>
  <si>
    <t>BLACK CARPETTING ROAD</t>
  </si>
  <si>
    <t>WBM ROAD</t>
  </si>
  <si>
    <t>STORE OPEN YARDS</t>
  </si>
  <si>
    <t>C.    ROAD SIDE DRAINAGE</t>
  </si>
  <si>
    <t>3840 RMT</t>
  </si>
  <si>
    <t>TOTAL LENGTH 3840  RMT</t>
  </si>
  <si>
    <t>(AVRAGE WIDTH 1.5 METER)</t>
  </si>
  <si>
    <t>D.    BOUNDRY WALL</t>
  </si>
  <si>
    <t>3147 RMT</t>
  </si>
  <si>
    <t>TOTAL LENGTH 3147  RMT</t>
  </si>
  <si>
    <t>AVRAGE HIEGHT 2 METER</t>
  </si>
  <si>
    <t xml:space="preserve">SOLAR   POWER PLANT </t>
  </si>
  <si>
    <t>80940 M2</t>
  </si>
  <si>
    <t>S.No.</t>
  </si>
  <si>
    <t>S. no.</t>
  </si>
  <si>
    <t>Name of Facility</t>
  </si>
  <si>
    <r>
      <t xml:space="preserve">Area                     </t>
    </r>
    <r>
      <rPr>
        <i/>
        <sz val="11"/>
        <color theme="1"/>
        <rFont val="Calibri"/>
        <family val="2"/>
        <scheme val="minor"/>
      </rPr>
      <t xml:space="preserve">(in Running meter) </t>
    </r>
    <r>
      <rPr>
        <b/>
        <sz val="11"/>
        <color theme="1"/>
        <rFont val="Calibri"/>
        <family val="2"/>
        <scheme val="minor"/>
      </rPr>
      <t xml:space="preserve"> </t>
    </r>
  </si>
  <si>
    <t>Depreciated Replacement Value</t>
  </si>
  <si>
    <t>Compound Wall (in RM)</t>
  </si>
  <si>
    <t xml:space="preserve">Remarks:- </t>
  </si>
  <si>
    <t>Drainage Channel (in RM)</t>
  </si>
  <si>
    <t>CIVIL/STRUCTURES VALUATION -JK TYRE &amp; INDUSTRIES LTD, BANMORE ..DISTT…MORENA</t>
  </si>
  <si>
    <t>Building/ Block Name</t>
  </si>
  <si>
    <t>Total Slabs/ Floors</t>
  </si>
  <si>
    <t xml:space="preserve">Roof Pattern </t>
  </si>
  <si>
    <t>Floor wise Height (Ft.)</t>
  </si>
  <si>
    <t>Year of construction</t>
  </si>
  <si>
    <t>Total Height  (Ft.)</t>
  </si>
  <si>
    <t>Type of construction
(select from drop down)</t>
  </si>
  <si>
    <t>Structure condition</t>
  </si>
  <si>
    <t>Area
(in sq. mtr.)</t>
  </si>
  <si>
    <t>Area
(sq. fts.)</t>
  </si>
  <si>
    <t>FACTORY BUILDINGS</t>
  </si>
  <si>
    <t>RCC ROOF SLAB</t>
  </si>
  <si>
    <t>RCC framed pillar beam column structure on RCC slab</t>
  </si>
  <si>
    <t>Very Good</t>
  </si>
  <si>
    <t>GALVALUME ROOFING SHED</t>
  </si>
  <si>
    <t>Galvalume sheet roofed building mounted on steel trusses resting on RCC column</t>
  </si>
  <si>
    <t>RCC ROOF SLAB CAST IN SITU</t>
  </si>
  <si>
    <t>RCC framed pillar beam column structure on RCC slab, Cast in SITU</t>
  </si>
  <si>
    <t>RCC COFFERS ROOF SLAB</t>
  </si>
  <si>
    <t>RCC framed pillar beam column structure on RCC slab, Precast Coffer Slab</t>
  </si>
  <si>
    <t>RCC DECK SLAB ROOF</t>
  </si>
  <si>
    <t>TYRE BUILDING MACJINE (TBM)</t>
  </si>
  <si>
    <t>Galvalume sheet roofed building mounted on steel trusses resting on RCC column &amp; Brick Wall</t>
  </si>
  <si>
    <t>Metallic framed pillar beam column structure on RCC slab</t>
  </si>
  <si>
    <t>Galvalume roofed building mounted on PEB steel trusses resting on Metallic column</t>
  </si>
  <si>
    <t>YARD</t>
  </si>
  <si>
    <t>Open Yard</t>
  </si>
  <si>
    <t>ASBESTOS ROOFING SHED</t>
  </si>
  <si>
    <t>Asbestos sheet roofed building mounted on steel trusses resting on RCC column &amp; Brick Wall</t>
  </si>
  <si>
    <t>Good</t>
  </si>
  <si>
    <t>Galvalume sheet roofed building mounted on steel trusses resting on RCC column &amp; Wall</t>
  </si>
  <si>
    <t>Open Yard, Structure RC Flooring</t>
  </si>
  <si>
    <t>GI &amp; Asbestos sheet roofed building mounted on steel trusses resting on RCC column &amp; Wall</t>
  </si>
  <si>
    <t>GI SHEET ROOFING SHED</t>
  </si>
  <si>
    <t>GI sheet roofed building mounted on steel trusses resting on Metallic Column &amp; Brick Wall</t>
  </si>
  <si>
    <t>GI &amp; ASBESTOS SHEET ROOFING SHED</t>
  </si>
  <si>
    <t>GI / Asbestos sheet roofed building mounted on steel trusses resting on Metallic Column &amp; Brick Wall</t>
  </si>
  <si>
    <t>ASBESTOS SHEET ROOFING SHED</t>
  </si>
  <si>
    <t>Asbestos sheet roofed building mounted on steel trusses resting on Metallic Column &amp; Brick Wall</t>
  </si>
  <si>
    <t>GALVALUME SHEET ROOFING SHED</t>
  </si>
  <si>
    <t>Galvalume sheet roofed building mounted on steel trusses resting on Metallic Column &amp; Brick Wall</t>
  </si>
  <si>
    <t>Open Yard, CAPACITY: 500.0 CUM/DAY</t>
  </si>
  <si>
    <t>Open Yard CAPACITY: 160 CUM./DAY</t>
  </si>
  <si>
    <t>2. GCRC of tanks had been calculated on the basis of their capacity.</t>
  </si>
  <si>
    <t>3. All the structure taken in the area statement belonging to M/s. JK Tyre and Industries Limited, Morena plant situated at Banmore Industrial Area.</t>
  </si>
  <si>
    <t xml:space="preserve">1. The area and the measurement of the above infrastructural development has been taken on the basis of information/ data provided by the company itself. However, the cross verification of area was also done by our surveyor at the site by doing google measurment of the boundary for other particulars we have relied on the data by the company.  </t>
  </si>
  <si>
    <t>WBM Road
(in Sq.mtr.)</t>
  </si>
  <si>
    <t>Black Carpeting Road
(in Sq.mtr.)</t>
  </si>
  <si>
    <r>
      <t xml:space="preserve">Area 
</t>
    </r>
    <r>
      <rPr>
        <sz val="11"/>
        <color theme="1"/>
        <rFont val="Calibri"/>
        <family val="2"/>
        <scheme val="minor"/>
      </rPr>
      <t>(in sq. mtr.)</t>
    </r>
  </si>
  <si>
    <t xml:space="preserve">Rates adopted           </t>
  </si>
  <si>
    <t xml:space="preserve">2. The Valuation of the structure is done on the basis of General Market trend prevailing for such industries after the visual observation. </t>
  </si>
  <si>
    <t>Rs.177,00,00,000/-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</si>
</sst>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quot;₹&quot;\ * #,##0.00_ ;_ &quot;₹&quot;\ * \-#,##0.00_ ;_ &quot;₹&quot;\ * &quot;-&quot;??_ ;_ @_ "/>
    <numFmt numFmtId="43" formatCode="_ * #,##0.00_ ;_ * \-#,##0.00_ ;_ * &quot;-&quot;??_ ;_ @_ "/>
    <numFmt numFmtId="164" formatCode="_ &quot;₹&quot;\ * #,##0_ ;_ &quot;₹&quot;\ * \-#,##0_ ;_ &quot;₹&quot;\ * &quot;-&quot;??_ ;_ @_ "/>
    <numFmt numFmtId="165" formatCode="_ [$₹-4009]\ * #,##0.00_ ;_ [$₹-4009]\ * \-#,##0.00_ ;_ [$₹-4009]\ * &quot;-&quot;??_ ;_ @_ "/>
    <numFmt numFmtId="166" formatCode="_ &quot;Rs.&quot;\ * #,##0.00_ ;_ &quot;Rs.&quot;\ * \-#,##0.00_ ;_ &quot;Rs.&quot;\ * &quot;-&quot;??_ ;_ @_ "/>
    <numFmt numFmtId="167" formatCode="0.0"/>
    <numFmt numFmtId="168" formatCode="0.0000"/>
    <numFmt numFmtId="169" formatCode="&quot;₹&quot;\ #,##0.00"/>
    <numFmt numFmtId="170" formatCode="&quot;Rs.&quot;#\ &quot;per litre&quot;"/>
    <numFmt numFmtId="171" formatCode="0.000"/>
  </numFmts>
  <fonts count="21"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i/>
      <sz val="11"/>
      <color theme="1"/>
      <name val="Calibri"/>
      <family val="2"/>
      <scheme val="minor"/>
    </font>
    <font>
      <b/>
      <sz val="11"/>
      <name val="Calibri"/>
      <family val="2"/>
      <scheme val="minor"/>
    </font>
    <font>
      <b/>
      <sz val="12"/>
      <color theme="0"/>
      <name val="Calibri"/>
      <family val="2"/>
      <scheme val="minor"/>
    </font>
    <font>
      <b/>
      <i/>
      <sz val="11"/>
      <color theme="1"/>
      <name val="Calibri"/>
      <family val="2"/>
      <scheme val="minor"/>
    </font>
    <font>
      <sz val="10"/>
      <name val="Arial"/>
      <family val="2"/>
    </font>
    <font>
      <b/>
      <i/>
      <sz val="10"/>
      <name val="Calibri"/>
      <family val="2"/>
      <scheme val="minor"/>
    </font>
    <font>
      <sz val="11"/>
      <color theme="1"/>
      <name val="Arial Narrow"/>
      <family val="2"/>
    </font>
    <font>
      <sz val="11"/>
      <color theme="1"/>
      <name val="Arial"/>
      <family val="2"/>
    </font>
    <font>
      <b/>
      <sz val="11"/>
      <color theme="0"/>
      <name val="Arial"/>
      <family val="2"/>
    </font>
    <font>
      <sz val="9"/>
      <color indexed="81"/>
      <name val="Tahoma"/>
      <charset val="1"/>
    </font>
    <font>
      <b/>
      <sz val="9"/>
      <color indexed="81"/>
      <name val="Tahoma"/>
      <charset val="1"/>
    </font>
    <font>
      <b/>
      <u/>
      <sz val="12"/>
      <name val="Arial"/>
      <family val="2"/>
    </font>
    <font>
      <b/>
      <u/>
      <vertAlign val="superscript"/>
      <sz val="12"/>
      <name val="Arial"/>
      <family val="2"/>
    </font>
    <font>
      <sz val="12"/>
      <name val="Arial"/>
      <family val="2"/>
    </font>
    <font>
      <b/>
      <sz val="12"/>
      <name val="Arial"/>
      <family val="2"/>
    </font>
    <font>
      <b/>
      <sz val="10"/>
      <name val="Arial"/>
      <family val="2"/>
    </font>
    <font>
      <b/>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1E3661"/>
        <bgColor indexed="64"/>
      </patternFill>
    </fill>
    <fill>
      <patternFill patternType="solid">
        <fgColor theme="4" tint="0.39997558519241921"/>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4" tint="0.79998168889431442"/>
        <bgColor indexed="64"/>
      </patternFill>
    </fill>
  </fills>
  <borders count="18">
    <border>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6">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8" fillId="0" borderId="0"/>
  </cellStyleXfs>
  <cellXfs count="127">
    <xf numFmtId="0" fontId="0" fillId="0" borderId="0" xfId="0"/>
    <xf numFmtId="9" fontId="0" fillId="0" borderId="0" xfId="3" applyFont="1"/>
    <xf numFmtId="165" fontId="0" fillId="0" borderId="0" xfId="0" applyNumberFormat="1"/>
    <xf numFmtId="44" fontId="0" fillId="0" borderId="0" xfId="0" applyNumberFormat="1"/>
    <xf numFmtId="44" fontId="0" fillId="0" borderId="0" xfId="2" applyFont="1"/>
    <xf numFmtId="0" fontId="5" fillId="4" borderId="5" xfId="0" applyFont="1" applyFill="1" applyBorder="1" applyAlignment="1">
      <alignment horizontal="center" vertical="center"/>
    </xf>
    <xf numFmtId="0" fontId="5" fillId="4" borderId="5"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5" xfId="0" applyBorder="1" applyAlignment="1">
      <alignment horizontal="center" vertical="center" wrapText="1"/>
    </xf>
    <xf numFmtId="1" fontId="0" fillId="0" borderId="5" xfId="0" applyNumberFormat="1" applyFont="1" applyBorder="1" applyAlignment="1">
      <alignment horizontal="center" vertical="center"/>
    </xf>
    <xf numFmtId="1" fontId="0" fillId="0" borderId="5" xfId="0" applyNumberFormat="1" applyBorder="1" applyAlignment="1">
      <alignment horizontal="center" vertical="center"/>
    </xf>
    <xf numFmtId="0" fontId="0" fillId="0" borderId="5" xfId="0" applyBorder="1" applyAlignment="1">
      <alignment horizontal="center" vertical="center"/>
    </xf>
    <xf numFmtId="9" fontId="0" fillId="0" borderId="5" xfId="0" applyNumberFormat="1" applyBorder="1" applyAlignment="1">
      <alignment horizontal="center" vertical="center"/>
    </xf>
    <xf numFmtId="168" fontId="0" fillId="0" borderId="5" xfId="0" applyNumberFormat="1" applyBorder="1" applyAlignment="1">
      <alignment horizontal="center" vertical="center"/>
    </xf>
    <xf numFmtId="164" fontId="0" fillId="0" borderId="5" xfId="2" applyNumberFormat="1" applyFont="1" applyBorder="1" applyAlignment="1">
      <alignment horizontal="center" vertical="center"/>
    </xf>
    <xf numFmtId="9" fontId="0" fillId="0" borderId="5" xfId="3" applyFont="1" applyBorder="1" applyAlignment="1">
      <alignment horizontal="center" vertical="center"/>
    </xf>
    <xf numFmtId="43" fontId="0" fillId="0" borderId="5" xfId="1" applyFont="1" applyBorder="1" applyAlignment="1">
      <alignment horizontal="center" vertical="center"/>
    </xf>
    <xf numFmtId="1" fontId="1" fillId="0" borderId="5" xfId="0" applyNumberFormat="1" applyFont="1" applyBorder="1" applyAlignment="1">
      <alignment horizontal="center" vertical="center"/>
    </xf>
    <xf numFmtId="164" fontId="1" fillId="0" borderId="5" xfId="2" applyNumberFormat="1" applyFont="1" applyBorder="1" applyAlignment="1">
      <alignment horizontal="center" vertical="center"/>
    </xf>
    <xf numFmtId="44" fontId="0" fillId="0" borderId="0" xfId="2" applyFont="1" applyBorder="1"/>
    <xf numFmtId="44" fontId="0" fillId="0" borderId="0" xfId="2" applyFont="1" applyAlignment="1">
      <alignment horizontal="center"/>
    </xf>
    <xf numFmtId="0" fontId="0" fillId="2" borderId="5" xfId="0" applyFill="1" applyBorder="1" applyAlignment="1">
      <alignment horizontal="center" vertical="center"/>
    </xf>
    <xf numFmtId="0" fontId="0" fillId="2" borderId="5" xfId="0" applyFill="1" applyBorder="1" applyAlignment="1">
      <alignment horizontal="center" vertical="center" wrapText="1"/>
    </xf>
    <xf numFmtId="1" fontId="0" fillId="2" borderId="5" xfId="0" applyNumberFormat="1" applyFont="1" applyFill="1" applyBorder="1" applyAlignment="1">
      <alignment horizontal="center" vertical="center"/>
    </xf>
    <xf numFmtId="168" fontId="0" fillId="2" borderId="5" xfId="0" applyNumberFormat="1" applyFill="1" applyBorder="1" applyAlignment="1">
      <alignment horizontal="center" vertical="center"/>
    </xf>
    <xf numFmtId="169" fontId="11" fillId="2" borderId="5" xfId="0" applyNumberFormat="1" applyFont="1" applyFill="1" applyBorder="1" applyAlignment="1">
      <alignment horizontal="right" vertical="center"/>
    </xf>
    <xf numFmtId="0" fontId="0" fillId="0" borderId="0" xfId="0" applyAlignment="1">
      <alignment horizontal="center"/>
    </xf>
    <xf numFmtId="0" fontId="0" fillId="0" borderId="5" xfId="0" applyFont="1" applyFill="1" applyBorder="1" applyAlignment="1">
      <alignment vertical="center"/>
    </xf>
    <xf numFmtId="0" fontId="0" fillId="0" borderId="5" xfId="0" applyFont="1" applyFill="1" applyBorder="1" applyAlignment="1">
      <alignment horizontal="center" vertical="center"/>
    </xf>
    <xf numFmtId="0" fontId="0" fillId="0" borderId="5" xfId="0" applyFont="1" applyFill="1" applyBorder="1" applyAlignment="1">
      <alignment horizontal="center" vertical="center" wrapText="1"/>
    </xf>
    <xf numFmtId="2" fontId="0" fillId="0" borderId="5" xfId="0" applyNumberFormat="1" applyBorder="1" applyAlignment="1">
      <alignment horizontal="center" vertical="center"/>
    </xf>
    <xf numFmtId="1" fontId="10" fillId="0" borderId="5" xfId="0" applyNumberFormat="1" applyFont="1" applyFill="1" applyBorder="1" applyAlignment="1">
      <alignment horizontal="center" vertical="center"/>
    </xf>
    <xf numFmtId="44" fontId="1" fillId="0" borderId="5" xfId="0" applyNumberFormat="1" applyFont="1" applyBorder="1"/>
    <xf numFmtId="0" fontId="0" fillId="0" borderId="0" xfId="0" pivotButton="1"/>
    <xf numFmtId="0" fontId="0" fillId="0" borderId="0" xfId="0" applyAlignment="1">
      <alignment horizontal="left"/>
    </xf>
    <xf numFmtId="170" fontId="11" fillId="2" borderId="5" xfId="0" applyNumberFormat="1" applyFont="1" applyFill="1" applyBorder="1" applyAlignment="1">
      <alignment horizontal="right" vertical="center"/>
    </xf>
    <xf numFmtId="0" fontId="12" fillId="0" borderId="0" xfId="0" applyFont="1" applyFill="1" applyBorder="1"/>
    <xf numFmtId="0" fontId="0" fillId="0" borderId="0" xfId="0" applyFill="1" applyBorder="1"/>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left"/>
    </xf>
    <xf numFmtId="0" fontId="0" fillId="0" borderId="0" xfId="0" applyAlignment="1">
      <alignment horizontal="center"/>
    </xf>
    <xf numFmtId="0" fontId="15" fillId="0" borderId="0" xfId="0" applyFont="1" applyAlignment="1">
      <alignment horizontal="left"/>
    </xf>
    <xf numFmtId="0" fontId="17" fillId="0" borderId="0" xfId="0" applyFont="1"/>
    <xf numFmtId="0" fontId="18" fillId="0" borderId="0" xfId="0" applyFont="1" applyAlignment="1">
      <alignment horizontal="left"/>
    </xf>
    <xf numFmtId="0" fontId="0" fillId="0" borderId="8" xfId="0" applyBorder="1" applyAlignment="1">
      <alignment horizontal="center"/>
    </xf>
    <xf numFmtId="0" fontId="0" fillId="0" borderId="9" xfId="0" applyBorder="1"/>
    <xf numFmtId="0" fontId="0" fillId="0" borderId="9" xfId="0" applyBorder="1" applyAlignment="1">
      <alignment horizontal="center"/>
    </xf>
    <xf numFmtId="0" fontId="0" fillId="0" borderId="10" xfId="0" applyBorder="1"/>
    <xf numFmtId="0" fontId="0" fillId="0" borderId="3" xfId="0" applyBorder="1" applyAlignment="1">
      <alignment horizontal="center"/>
    </xf>
    <xf numFmtId="0" fontId="0" fillId="0" borderId="5" xfId="0" applyBorder="1"/>
    <xf numFmtId="0" fontId="0" fillId="0" borderId="5" xfId="0" applyBorder="1" applyAlignment="1">
      <alignment horizontal="center"/>
    </xf>
    <xf numFmtId="0" fontId="0" fillId="0" borderId="4" xfId="0" applyBorder="1"/>
    <xf numFmtId="0" fontId="0" fillId="0" borderId="11" xfId="0" applyBorder="1" applyAlignment="1">
      <alignment horizontal="center"/>
    </xf>
    <xf numFmtId="0" fontId="0" fillId="0" borderId="12" xfId="0" applyBorder="1"/>
    <xf numFmtId="0" fontId="18" fillId="0" borderId="12" xfId="0" applyFont="1" applyBorder="1" applyAlignment="1">
      <alignment horizontal="center"/>
    </xf>
    <xf numFmtId="0" fontId="18" fillId="0" borderId="13" xfId="0" applyFont="1" applyBorder="1" applyAlignment="1">
      <alignment horizontal="right"/>
    </xf>
    <xf numFmtId="0" fontId="18" fillId="0" borderId="0" xfId="0" applyFont="1" applyAlignment="1">
      <alignment horizontal="center"/>
    </xf>
    <xf numFmtId="0" fontId="8" fillId="0" borderId="0" xfId="0" applyFont="1" applyBorder="1" applyAlignment="1">
      <alignment horizontal="left"/>
    </xf>
    <xf numFmtId="0" fontId="19" fillId="0" borderId="0" xfId="0" applyFont="1" applyAlignment="1">
      <alignment horizontal="center"/>
    </xf>
    <xf numFmtId="0" fontId="19" fillId="0" borderId="0" xfId="0" applyFont="1"/>
    <xf numFmtId="49" fontId="0" fillId="0" borderId="5" xfId="0" applyNumberFormat="1" applyBorder="1" applyAlignment="1">
      <alignment horizontal="center"/>
    </xf>
    <xf numFmtId="43" fontId="0" fillId="0" borderId="0" xfId="1" applyFont="1"/>
    <xf numFmtId="0" fontId="1" fillId="4" borderId="5" xfId="0" applyFont="1" applyFill="1" applyBorder="1" applyAlignment="1">
      <alignment horizontal="center" vertical="center"/>
    </xf>
    <xf numFmtId="0" fontId="1" fillId="4" borderId="5" xfId="0" applyFont="1" applyFill="1" applyBorder="1" applyAlignment="1">
      <alignment horizontal="center" vertical="center" wrapText="1"/>
    </xf>
    <xf numFmtId="165" fontId="0" fillId="0" borderId="5" xfId="0" applyNumberFormat="1" applyBorder="1" applyAlignment="1">
      <alignment horizontal="center" vertical="center"/>
    </xf>
    <xf numFmtId="166" fontId="0" fillId="0" borderId="5" xfId="0" applyNumberFormat="1" applyBorder="1" applyAlignment="1">
      <alignment horizontal="center" vertical="center"/>
    </xf>
    <xf numFmtId="0" fontId="1" fillId="0" borderId="5" xfId="0" applyFont="1" applyBorder="1" applyAlignment="1"/>
    <xf numFmtId="166" fontId="1" fillId="0" borderId="5" xfId="0" applyNumberFormat="1" applyFont="1" applyBorder="1"/>
    <xf numFmtId="165" fontId="1" fillId="0" borderId="5" xfId="0" applyNumberFormat="1" applyFont="1" applyBorder="1" applyAlignment="1">
      <alignment horizontal="center" vertical="center"/>
    </xf>
    <xf numFmtId="166" fontId="0" fillId="0" borderId="0" xfId="0" applyNumberFormat="1"/>
    <xf numFmtId="43" fontId="0" fillId="0" borderId="0" xfId="0" applyNumberFormat="1"/>
    <xf numFmtId="9" fontId="5" fillId="4" borderId="5" xfId="3" applyFont="1" applyFill="1" applyBorder="1" applyAlignment="1">
      <alignment horizontal="center" vertical="center" wrapText="1"/>
    </xf>
    <xf numFmtId="0" fontId="0" fillId="0" borderId="0" xfId="0" applyAlignment="1">
      <alignment horizontal="center"/>
    </xf>
    <xf numFmtId="0" fontId="0" fillId="0" borderId="0" xfId="0" applyAlignment="1">
      <alignment vertical="center"/>
    </xf>
    <xf numFmtId="0" fontId="1" fillId="6" borderId="5" xfId="0" applyFont="1" applyFill="1" applyBorder="1" applyAlignment="1">
      <alignment horizontal="center" vertical="center" wrapText="1"/>
    </xf>
    <xf numFmtId="0" fontId="1" fillId="6" borderId="5" xfId="0" applyFont="1" applyFill="1" applyBorder="1" applyAlignment="1">
      <alignment horizontal="left" vertical="center" wrapText="1"/>
    </xf>
    <xf numFmtId="0" fontId="0" fillId="0" borderId="5" xfId="0" applyBorder="1" applyAlignment="1">
      <alignment vertical="center"/>
    </xf>
    <xf numFmtId="3" fontId="0" fillId="0" borderId="5" xfId="0" applyNumberFormat="1" applyBorder="1" applyAlignment="1">
      <alignment horizontal="center" vertical="center"/>
    </xf>
    <xf numFmtId="0" fontId="0" fillId="0" borderId="5" xfId="0" applyBorder="1" applyAlignment="1">
      <alignment horizontal="left" vertical="center"/>
    </xf>
    <xf numFmtId="0" fontId="0" fillId="0" borderId="5" xfId="0" applyBorder="1" applyAlignment="1">
      <alignment vertical="center" wrapText="1"/>
    </xf>
    <xf numFmtId="0" fontId="0" fillId="0" borderId="5" xfId="0" quotePrefix="1" applyBorder="1" applyAlignment="1">
      <alignment horizontal="left" vertical="center"/>
    </xf>
    <xf numFmtId="0" fontId="0" fillId="0" borderId="5" xfId="0" quotePrefix="1" applyBorder="1" applyAlignment="1">
      <alignment horizontal="left" vertical="center" wrapText="1"/>
    </xf>
    <xf numFmtId="0" fontId="0" fillId="0" borderId="5" xfId="0" applyBorder="1" applyAlignment="1">
      <alignment horizontal="left" vertical="center" wrapText="1"/>
    </xf>
    <xf numFmtId="3" fontId="0" fillId="0" borderId="5" xfId="0" applyNumberFormat="1" applyBorder="1" applyAlignment="1">
      <alignment horizontal="center" vertical="center" wrapText="1"/>
    </xf>
    <xf numFmtId="171" fontId="0" fillId="0" borderId="5" xfId="0" applyNumberFormat="1" applyBorder="1" applyAlignment="1">
      <alignment horizontal="center" vertical="center"/>
    </xf>
    <xf numFmtId="0" fontId="0" fillId="0" borderId="12" xfId="0"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1" fontId="0" fillId="0" borderId="2" xfId="0" applyNumberFormat="1" applyBorder="1" applyAlignment="1">
      <alignment horizontal="center" vertical="center"/>
    </xf>
    <xf numFmtId="3" fontId="0" fillId="0" borderId="2" xfId="0" applyNumberFormat="1" applyBorder="1" applyAlignment="1">
      <alignment horizontal="center" vertical="center"/>
    </xf>
    <xf numFmtId="171" fontId="0" fillId="0" borderId="2" xfId="0" applyNumberFormat="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1" fontId="0" fillId="0" borderId="0" xfId="0" applyNumberFormat="1" applyAlignment="1">
      <alignment horizontal="center"/>
    </xf>
    <xf numFmtId="1" fontId="0" fillId="0" borderId="5" xfId="0" applyNumberFormat="1" applyFont="1" applyFill="1" applyBorder="1" applyAlignment="1">
      <alignment horizontal="center" vertical="center"/>
    </xf>
    <xf numFmtId="164" fontId="0" fillId="0" borderId="5" xfId="0" applyNumberFormat="1" applyBorder="1" applyAlignment="1">
      <alignment horizontal="left"/>
    </xf>
    <xf numFmtId="9" fontId="5" fillId="4" borderId="5" xfId="3" applyFont="1" applyFill="1" applyBorder="1" applyAlignment="1">
      <alignment horizontal="center" vertical="center"/>
    </xf>
    <xf numFmtId="0" fontId="0" fillId="0" borderId="5" xfId="0" applyFont="1" applyFill="1" applyBorder="1" applyAlignment="1">
      <alignment vertical="center" wrapText="1"/>
    </xf>
    <xf numFmtId="0" fontId="20" fillId="0" borderId="0" xfId="0" applyFont="1"/>
    <xf numFmtId="0" fontId="6" fillId="5" borderId="0" xfId="0" applyFont="1" applyFill="1" applyAlignment="1">
      <alignment horizontal="center" vertical="center"/>
    </xf>
    <xf numFmtId="0" fontId="1" fillId="7" borderId="5" xfId="0" applyFont="1" applyFill="1" applyBorder="1" applyAlignment="1">
      <alignment horizontal="center" vertical="center"/>
    </xf>
    <xf numFmtId="0" fontId="7" fillId="0" borderId="5" xfId="0" applyFont="1" applyBorder="1" applyAlignment="1">
      <alignment horizontal="left" vertical="center"/>
    </xf>
    <xf numFmtId="0" fontId="0" fillId="0" borderId="0" xfId="0" applyAlignment="1">
      <alignment horizontal="center"/>
    </xf>
    <xf numFmtId="0" fontId="1" fillId="0" borderId="0" xfId="0" applyFont="1" applyAlignment="1">
      <alignment horizontal="center"/>
    </xf>
    <xf numFmtId="0" fontId="6" fillId="3" borderId="5" xfId="0" applyFont="1" applyFill="1" applyBorder="1" applyAlignment="1">
      <alignment horizontal="center" vertical="center"/>
    </xf>
    <xf numFmtId="0" fontId="1" fillId="0" borderId="5" xfId="0" applyFont="1" applyBorder="1" applyAlignment="1">
      <alignment horizontal="center" vertical="center"/>
    </xf>
    <xf numFmtId="0" fontId="7" fillId="0" borderId="6" xfId="0" applyFont="1" applyBorder="1" applyAlignment="1">
      <alignment horizontal="left" vertical="center"/>
    </xf>
    <xf numFmtId="0" fontId="7" fillId="0" borderId="14" xfId="0" applyFont="1" applyBorder="1" applyAlignment="1">
      <alignment horizontal="left" vertical="center"/>
    </xf>
    <xf numFmtId="0" fontId="7" fillId="0" borderId="1" xfId="0" applyFont="1" applyBorder="1" applyAlignment="1">
      <alignment horizontal="left" vertical="center"/>
    </xf>
    <xf numFmtId="0" fontId="6" fillId="3" borderId="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 xfId="0" applyFont="1" applyFill="1" applyBorder="1" applyAlignment="1">
      <alignment horizontal="center" vertical="center"/>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horizontal="center" vertical="center"/>
    </xf>
    <xf numFmtId="0" fontId="7" fillId="0" borderId="5" xfId="0" applyFont="1" applyBorder="1" applyAlignment="1">
      <alignment horizontal="left" vertical="center" wrapText="1"/>
    </xf>
    <xf numFmtId="0" fontId="1" fillId="0" borderId="5" xfId="0" applyFont="1" applyBorder="1" applyAlignment="1">
      <alignment horizontal="center"/>
    </xf>
    <xf numFmtId="0" fontId="7" fillId="0" borderId="5" xfId="0" applyFont="1" applyBorder="1" applyAlignment="1">
      <alignment horizontal="left"/>
    </xf>
    <xf numFmtId="0" fontId="7" fillId="0" borderId="5" xfId="0" applyFont="1" applyBorder="1" applyAlignment="1">
      <alignment horizontal="left" vertical="top" wrapText="1"/>
    </xf>
    <xf numFmtId="0" fontId="3" fillId="3" borderId="7" xfId="0" applyFont="1" applyFill="1" applyBorder="1" applyAlignment="1">
      <alignment horizontal="center" wrapText="1"/>
    </xf>
    <xf numFmtId="0" fontId="3" fillId="3" borderId="15" xfId="0" applyFont="1" applyFill="1" applyBorder="1" applyAlignment="1">
      <alignment horizontal="center" wrapText="1"/>
    </xf>
    <xf numFmtId="0" fontId="3" fillId="3" borderId="16" xfId="0" applyFont="1" applyFill="1" applyBorder="1" applyAlignment="1">
      <alignment horizontal="center" wrapText="1"/>
    </xf>
    <xf numFmtId="0" fontId="3" fillId="3" borderId="17" xfId="0" applyFont="1" applyFill="1" applyBorder="1" applyAlignment="1">
      <alignment horizontal="center" wrapText="1"/>
    </xf>
    <xf numFmtId="0" fontId="0" fillId="0" borderId="5" xfId="0" applyFill="1" applyBorder="1" applyAlignment="1">
      <alignment horizontal="center"/>
    </xf>
    <xf numFmtId="0" fontId="0" fillId="0" borderId="5" xfId="0" applyFill="1" applyBorder="1" applyAlignment="1">
      <alignment horizontal="left"/>
    </xf>
    <xf numFmtId="0" fontId="0" fillId="0" borderId="0" xfId="0" applyFill="1"/>
  </cellXfs>
  <cellStyles count="6">
    <cellStyle name="Comma" xfId="1" builtinId="3"/>
    <cellStyle name="Currency" xfId="2" builtinId="4"/>
    <cellStyle name="Currency 4" xfId="4"/>
    <cellStyle name="Normal" xfId="0" builtinId="0"/>
    <cellStyle name="Normal 2" xfId="5"/>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Abhishek%20Sharma\arshiya\Mum-1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28">
          <cell r="L28">
            <v>765126697.42109573</v>
          </cell>
        </row>
      </sheetData>
      <sheetData sheetId="1">
        <row r="9">
          <cell r="H9">
            <v>24032079</v>
          </cell>
        </row>
      </sheetData>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bhishek Sharma" refreshedDate="44721.445647569446" createdVersion="5" refreshedVersion="5" minRefreshableVersion="3" recordCount="120">
  <cacheSource type="worksheet">
    <worksheetSource ref="A5:U125" sheet="FINAL BUILDING"/>
  </cacheSource>
  <cacheFields count="20">
    <cacheField name="SR. No." numFmtId="0">
      <sharedItems containsSemiMixedTypes="0" containsString="0" containsNumber="1" containsInteger="1" minValue="1" maxValue="120"/>
    </cacheField>
    <cacheField name="Particular" numFmtId="0">
      <sharedItems/>
    </cacheField>
    <cacheField name="Total Slabs/Floors" numFmtId="0">
      <sharedItems containsSemiMixedTypes="0" containsString="0" containsNumber="1" containsInteger="1" minValue="0" maxValue="2"/>
    </cacheField>
    <cacheField name="Type of Structure" numFmtId="0">
      <sharedItems count="24">
        <s v="RCC framed pillar beam column structure on RCC slab with RCC ROOF SLAB"/>
        <s v="Galvalume sheet roofed building mounted on steel trusses resting on RCC column with GALVALUME ROOFING SHED"/>
        <s v="RCC framed pillar beam column structure on RCC slab, Cast in SITU with RCC ROOF SLAB CAST IN SITU"/>
        <s v="RCC framed pillar beam column structure on RCC slab, Precast Coffer Slab with RCC COFFERS ROOF SLAB"/>
        <s v="RCC framed pillar beam column structure on RCC slab with RCC DECK SLAB ROOF"/>
        <s v="RCC framed pillar beam column structure on RCC slab with RCC COFFERS ROOF SLAB"/>
        <s v="RCC framed pillar beam column structure on RCC slab with RCC ROOF SLAB CAST IN SITU"/>
        <s v="Galvalume sheet roofed building mounted on steel trusses resting on RCC column &amp; Brick Wall with GALVALUME ROOFING SHED"/>
        <s v="Metallic framed pillar beam column structure on RCC slab with GALVALUME ROOFING SHED"/>
        <s v="RCC framed pillar beam column structure on RCC slab with GALVALUME ROOFING SHED"/>
        <s v="Galvalume roofed building mounted on PEB steel trusses resting on Metallic column with GALVALUME ROOFING SHED"/>
        <s v="Open Yard with YARD"/>
        <s v="Asbestos sheet roofed building mounted on steel trusses resting on RCC column &amp; Brick Wall with ASBESTOS ROOFING SHED"/>
        <s v="Galvalume sheet roofed building mounted on steel trusses resting on RCC column &amp; Wall with GALVALUME ROOFING SHED"/>
        <s v="Open Yard, Structure RC Flooring with YARD"/>
        <s v="Galvalume sheet roofed building mounted on steel trusses resting on RCC column &amp; Wall with YARD"/>
        <s v="GI &amp; Asbestos sheet roofed building mounted on steel trusses resting on RCC column &amp; Wall with ASBESTOS ROOFING SHED"/>
        <s v="GI sheet roofed building mounted on steel trusses resting on Metallic Column &amp; Brick Wall with GI SHEET ROOFING SHED"/>
        <s v="GI / Asbestos sheet roofed building mounted on steel trusses resting on Metallic Column &amp; Brick Wall with GI &amp; ASBESTOS SHEET ROOFING SHED"/>
        <s v="Asbestos sheet roofed building mounted on steel trusses resting on Metallic Column &amp; Brick Wall with ASBESTOS SHEET ROOFING SHED"/>
        <s v="Galvalume sheet roofed building mounted on steel trusses resting on Metallic Column &amp; Brick Wall with GALVALUME SHEET ROOFING SHED"/>
        <s v="Open Yard, CAPACITY: 500.0 CUM/DAY with YARD"/>
        <s v="Open Yard CAPACITY: 160 CUM./DAY with YARD"/>
        <s v="Galvalume sheet roofed building mounted on steel trusses resting on Metallic Column &amp; Brick Wall with GALVALUME ROOFING SHED"/>
      </sharedItems>
    </cacheField>
    <cacheField name="Area _x000a_(in sq.ft)" numFmtId="0">
      <sharedItems containsSemiMixedTypes="0" containsString="0" containsNumber="1" minValue="0" maxValue="68218.399999999994"/>
    </cacheField>
    <cacheField name="Area _x000a_(in sq.mtr)" numFmtId="167">
      <sharedItems containsSemiMixedTypes="0" containsString="0" containsNumber="1" minValue="0" maxValue="6337.7028772099329"/>
    </cacheField>
    <cacheField name="Height (in ft.)" numFmtId="1">
      <sharedItems containsSemiMixedTypes="0" containsString="0" containsNumber="1" minValue="0" maxValue="199.67999999999998"/>
    </cacheField>
    <cacheField name="Height (in mtr.)" numFmtId="2">
      <sharedItems containsSemiMixedTypes="0" containsString="0" containsNumber="1" minValue="0" maxValue="60.859494056690025"/>
    </cacheField>
    <cacheField name="Year of Construction" numFmtId="1">
      <sharedItems containsSemiMixedTypes="0" containsString="0" containsNumber="1" containsInteger="1" minValue="1991" maxValue="2022"/>
    </cacheField>
    <cacheField name="Year of Valuation " numFmtId="0">
      <sharedItems containsSemiMixedTypes="0" containsString="0" containsNumber="1" containsInteger="1" minValue="2022" maxValue="2022"/>
    </cacheField>
    <cacheField name="Total Life Consumed _x000a_(in years)" numFmtId="1">
      <sharedItems containsSemiMixedTypes="0" containsString="0" containsNumber="1" containsInteger="1" minValue="0" maxValue="31"/>
    </cacheField>
    <cacheField name="Total Economical Life_x000a_(in years)" numFmtId="0">
      <sharedItems containsSemiMixedTypes="0" containsString="0" containsNumber="1" containsInteger="1" minValue="0" maxValue="60"/>
    </cacheField>
    <cacheField name="Salvage value" numFmtId="9">
      <sharedItems containsString="0" containsBlank="1" containsNumber="1" minValue="0.05" maxValue="0.1"/>
    </cacheField>
    <cacheField name="Depreciation Rate" numFmtId="168">
      <sharedItems containsString="0" containsBlank="1" containsNumber="1" minValue="1.5000000000000001E-2" maxValue="3.7999999999999999E-2"/>
    </cacheField>
    <cacheField name="Plinth Area  Rate _x000a_(in per sq.ft)" numFmtId="169">
      <sharedItems/>
    </cacheField>
    <cacheField name="Gross Replacement Value_x000a_(INR)" numFmtId="0">
      <sharedItems containsString="0" containsBlank="1" containsNumber="1" minValue="0" maxValue="138429000"/>
    </cacheField>
    <cacheField name="Depreciation_x000a_(INR) " numFmtId="164">
      <sharedItems containsString="0" containsBlank="1" containsNumber="1" minValue="0" maxValue="109061730.62857142"/>
    </cacheField>
    <cacheField name="Depreciated Value_x000a_(INR)" numFmtId="164">
      <sharedItems containsString="0" containsBlank="1" containsNumber="1" minValue="0" maxValue="36808381.866666667"/>
    </cacheField>
    <cacheField name="Discounting Factor" numFmtId="9">
      <sharedItems containsString="0" containsBlank="1" containsNumber="1" minValue="0.1" maxValue="0.1"/>
    </cacheField>
    <cacheField name="Depreciated Replacement Market Value_x000a_(INR)" numFmtId="164">
      <sharedItems containsString="0" containsBlank="1" containsNumber="1" minValue="0" maxValue="138429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20">
  <r>
    <n v="1"/>
    <s v="RMS UNLOADING PLATFORM"/>
    <n v="1"/>
    <x v="0"/>
    <n v="7101.5999999999995"/>
    <n v="659.76086734362082"/>
    <n v="20"/>
    <n v="6.0957025297165499"/>
    <n v="1991"/>
    <n v="2022"/>
    <n v="31"/>
    <n v="35"/>
    <n v="0.05"/>
    <n v="2.7142857142857142E-2"/>
    <s v="2000"/>
    <n v="14203199.999999998"/>
    <n v="11950978.285714284"/>
    <n v="2252221.7142857146"/>
    <n v="0.1"/>
    <n v="2026999.5428571431"/>
  </r>
  <r>
    <n v="2"/>
    <s v="RMS GODOWNS"/>
    <n v="1"/>
    <x v="1"/>
    <n v="68218.399999999994"/>
    <n v="6337.7028772099329"/>
    <n v="29.951999999999998"/>
    <n v="9.1289241085035044"/>
    <n v="1991"/>
    <n v="2022"/>
    <n v="31"/>
    <n v="35"/>
    <n v="0.05"/>
    <n v="2.7142857142857142E-2"/>
    <s v="1900"/>
    <n v="129614959.99999999"/>
    <n v="109061730.62857142"/>
    <n v="20553229.371428564"/>
    <n v="0.1"/>
    <n v="18497906.434285708"/>
  </r>
  <r>
    <n v="3"/>
    <s v="BANBURY &amp; MIXING # 1,2 &amp; 3 BASEMENT"/>
    <n v="1"/>
    <x v="0"/>
    <n v="41426"/>
    <n v="3848.6050595044549"/>
    <n v="20"/>
    <n v="6.0957025297165499"/>
    <n v="1991"/>
    <n v="2022"/>
    <n v="31"/>
    <n v="35"/>
    <n v="0.1"/>
    <n v="2.5714285714285714E-2"/>
    <s v="2000"/>
    <n v="82852000"/>
    <n v="66044880"/>
    <n v="16807120"/>
    <n v="0.1"/>
    <n v="15126408"/>
  </r>
  <r>
    <n v="4"/>
    <s v="BANBURY &amp; MIXING # 1,2 &amp; 3 GROUND FLOOR"/>
    <n v="1"/>
    <x v="0"/>
    <n v="28998.2"/>
    <n v="2694.0235416531186"/>
    <n v="20"/>
    <n v="6.0957025297165499"/>
    <n v="1991"/>
    <n v="2022"/>
    <n v="31"/>
    <n v="35"/>
    <n v="0.05"/>
    <n v="2.7142857142857142E-2"/>
    <s v="2000"/>
    <n v="57996400"/>
    <n v="48799828"/>
    <n v="9196572"/>
    <n v="0.1"/>
    <n v="8276914.7999999998"/>
  </r>
  <r>
    <n v="5"/>
    <s v="BANBURY &amp; MIXING # 1,2 &amp; 3 GROUND FLOOR"/>
    <n v="1"/>
    <x v="1"/>
    <n v="12427.8"/>
    <n v="1154.5815178513365"/>
    <n v="29.951999999999998"/>
    <n v="9.1289241085035044"/>
    <n v="1991"/>
    <n v="2022"/>
    <n v="31"/>
    <n v="35"/>
    <n v="0.1"/>
    <n v="2.5714285714285714E-2"/>
    <s v="1900"/>
    <n v="23612820"/>
    <n v="18822790.800000001"/>
    <n v="4790029.1999999993"/>
    <n v="0.1"/>
    <n v="4311026.2799999993"/>
  </r>
  <r>
    <n v="6"/>
    <s v="BANBURY &amp; MIXING # 1,2 &amp; 3, 1st FLOOR"/>
    <n v="1"/>
    <x v="1"/>
    <n v="33140.800000000003"/>
    <n v="3078.8840476035643"/>
    <n v="26.623999999999999"/>
    <n v="8.1145992075586708"/>
    <n v="1991"/>
    <n v="2022"/>
    <n v="31"/>
    <n v="35"/>
    <n v="0.05"/>
    <n v="2.7142857142857142E-2"/>
    <s v="1900"/>
    <n v="62967520.000000007"/>
    <n v="52982670.400000006"/>
    <n v="9984849.6000000015"/>
    <n v="0.1"/>
    <n v="8986364.6400000025"/>
  </r>
  <r>
    <n v="7"/>
    <s v="BANBURY &amp; MIXING # 1,2 &amp; 3, 2nd FLOOR"/>
    <n v="1"/>
    <x v="1"/>
    <n v="8285.2000000000007"/>
    <n v="769.72101190089109"/>
    <n v="16.64"/>
    <n v="5.071624504724169"/>
    <n v="1991"/>
    <n v="2022"/>
    <n v="31"/>
    <n v="60"/>
    <n v="0.05"/>
    <n v="1.5833333333333331E-2"/>
    <s v="1500"/>
    <n v="12427800.000000002"/>
    <n v="6099978.5"/>
    <n v="6327821.5000000019"/>
    <n v="0.1"/>
    <n v="5695039.3500000015"/>
  </r>
  <r>
    <n v="8"/>
    <s v="BANBURY &amp; MIXING # 4 BASEMENT"/>
    <n v="1"/>
    <x v="0"/>
    <n v="10375.33"/>
    <n v="963.90063081225207"/>
    <n v="20"/>
    <n v="6.0957025297165499"/>
    <n v="2004"/>
    <n v="2022"/>
    <n v="18"/>
    <n v="60"/>
    <n v="0.1"/>
    <n v="1.5000000000000001E-2"/>
    <s v="2000"/>
    <n v="20750660"/>
    <n v="5602678.2000000002"/>
    <n v="15147981.800000001"/>
    <n v="0.1"/>
    <n v="13633183.620000001"/>
  </r>
  <r>
    <n v="9"/>
    <s v="BANBURY &amp; MIXING # 4 GROUND FLOOR"/>
    <n v="1"/>
    <x v="0"/>
    <n v="14525.462"/>
    <n v="1349.4608831371529"/>
    <n v="20"/>
    <n v="6.0957025297165499"/>
    <n v="2004"/>
    <n v="2022"/>
    <n v="18"/>
    <n v="60"/>
    <n v="0.05"/>
    <n v="1.5833333333333331E-2"/>
    <s v="2000"/>
    <n v="29050924"/>
    <n v="8279513.3399999989"/>
    <n v="20771410.66"/>
    <n v="0.1"/>
    <n v="18694269.594000001"/>
  </r>
  <r>
    <n v="10"/>
    <s v="BANBURY &amp; MIXING # 4 GROUND FLOOR"/>
    <n v="1"/>
    <x v="1"/>
    <n v="6213.9"/>
    <n v="577.29075892566823"/>
    <n v="29.951999999999998"/>
    <n v="9.1289241085035044"/>
    <n v="2004"/>
    <n v="2022"/>
    <n v="18"/>
    <n v="60"/>
    <n v="0.05"/>
    <n v="1.5833333333333331E-2"/>
    <s v="1900"/>
    <n v="11806410"/>
    <n v="3364826.8499999996"/>
    <n v="8441583.1500000004"/>
    <n v="0.1"/>
    <n v="7597424.8350000009"/>
  </r>
  <r>
    <n v="11"/>
    <s v="BANBURY &amp; MIXING # 4, 1st FLOOR"/>
    <n v="1"/>
    <x v="1"/>
    <n v="20713"/>
    <n v="1924.3025297522274"/>
    <n v="29.951999999999998"/>
    <n v="9.1289241085035044"/>
    <n v="2004"/>
    <n v="2022"/>
    <n v="18"/>
    <n v="60"/>
    <n v="0.1"/>
    <n v="1.5000000000000001E-2"/>
    <s v="1900"/>
    <n v="39354700"/>
    <n v="10625769"/>
    <n v="28728931"/>
    <n v="0.1"/>
    <n v="25856037.900000002"/>
  </r>
  <r>
    <n v="12"/>
    <s v="BANBURY &amp; MIXING # 4, 2nd FLOOR"/>
    <n v="1"/>
    <x v="1"/>
    <n v="4142.6000000000004"/>
    <n v="384.86050595044554"/>
    <n v="16.64"/>
    <n v="5.071624504724169"/>
    <n v="2004"/>
    <n v="2022"/>
    <n v="18"/>
    <n v="60"/>
    <n v="0.05"/>
    <n v="1.5833333333333331E-2"/>
    <s v="1500"/>
    <n v="6213900.0000000009"/>
    <n v="1770961.5"/>
    <n v="4442938.5000000009"/>
    <n v="0.1"/>
    <n v="3998644.6500000008"/>
  </r>
  <r>
    <n v="13"/>
    <s v="DIP UNIT"/>
    <n v="1"/>
    <x v="1"/>
    <n v="20713"/>
    <n v="1924.3025297522274"/>
    <n v="79.872"/>
    <n v="24.343797622676011"/>
    <n v="1991"/>
    <n v="2022"/>
    <n v="31"/>
    <n v="60"/>
    <n v="0.05"/>
    <n v="1.5833333333333331E-2"/>
    <s v="1900"/>
    <n v="39354700"/>
    <n v="19316598.583333332"/>
    <n v="20038101.416666668"/>
    <n v="0.1"/>
    <n v="18034291.275000002"/>
  </r>
  <r>
    <n v="14"/>
    <s v="THERMOPACK"/>
    <n v="1"/>
    <x v="1"/>
    <n v="4217.92"/>
    <n v="391.85796969499904"/>
    <n v="66"/>
    <n v="20.115818348064614"/>
    <n v="1991"/>
    <n v="2022"/>
    <n v="31"/>
    <n v="60"/>
    <n v="0.1"/>
    <n v="1.5000000000000001E-2"/>
    <s v="1900"/>
    <n v="8014048"/>
    <n v="3726532.3200000003"/>
    <n v="4287515.68"/>
    <n v="0.1"/>
    <n v="3858764.1119999997"/>
  </r>
  <r>
    <n v="15"/>
    <s v="STOCK PREPARATION: 4-ROLL CALENDAR / DUAL EXTRUDER"/>
    <n v="1"/>
    <x v="2"/>
    <n v="52724"/>
    <n v="4898.2246211874881"/>
    <n v="38.271999999999998"/>
    <n v="11.664736360865589"/>
    <n v="1991"/>
    <n v="2022"/>
    <n v="31"/>
    <n v="35"/>
    <n v="0.05"/>
    <n v="2.7142857142857142E-2"/>
    <s v="0"/>
    <n v="0"/>
    <n v="0"/>
    <n v="0"/>
    <n v="0.1"/>
    <n v="0"/>
  </r>
  <r>
    <n v="16"/>
    <s v="STOCK PREPERATION TRIPLEX EXTRUDER"/>
    <n v="1"/>
    <x v="3"/>
    <n v="28998.2"/>
    <n v="2694.0235416531186"/>
    <n v="29.951999999999998"/>
    <n v="9.1289241085035044"/>
    <n v="1998"/>
    <n v="2022"/>
    <n v="24"/>
    <n v="60"/>
    <n v="0.05"/>
    <n v="1.5833333333333331E-2"/>
    <s v="0"/>
    <n v="0"/>
    <n v="0"/>
    <n v="0"/>
    <n v="0.1"/>
    <n v="0"/>
  </r>
  <r>
    <n v="17"/>
    <s v="STOCK PREPERATION DUPLEX EXTRUDER"/>
    <n v="1"/>
    <x v="4"/>
    <n v="28998.2"/>
    <n v="2694.0235416531186"/>
    <n v="29.951999999999998"/>
    <n v="9.1289241085035044"/>
    <n v="2004"/>
    <n v="2022"/>
    <n v="18"/>
    <n v="35"/>
    <n v="0.05"/>
    <n v="2.7142857142857142E-2"/>
    <s v="0"/>
    <n v="0"/>
    <n v="0"/>
    <n v="0"/>
    <n v="0.1"/>
    <n v="0"/>
  </r>
  <r>
    <n v="18"/>
    <s v="TYRE BUILDING MACJINE (TBM)"/>
    <n v="1"/>
    <x v="2"/>
    <n v="0"/>
    <n v="0"/>
    <n v="38.271999999999998"/>
    <n v="11.664736360865589"/>
    <n v="1991"/>
    <n v="2022"/>
    <n v="31"/>
    <n v="35"/>
    <n v="0.05"/>
    <n v="2.7142857142857142E-2"/>
    <s v="0"/>
    <n v="0"/>
    <n v="0"/>
    <n v="0"/>
    <n v="0.1"/>
    <n v="0"/>
  </r>
  <r>
    <n v="19"/>
    <s v="TYRE BUILDING HALL # 1 ( Precast)"/>
    <n v="1"/>
    <x v="0"/>
    <n v="33140.800000000003"/>
    <n v="3078.8840476035643"/>
    <n v="18.303999999999998"/>
    <n v="5.5787869551965859"/>
    <n v="1998"/>
    <n v="2022"/>
    <n v="24"/>
    <n v="60"/>
    <n v="0.05"/>
    <n v="1.5833333333333331E-2"/>
    <s v="0"/>
    <n v="0"/>
    <n v="0"/>
    <n v="0"/>
    <n v="0.1"/>
    <n v="0"/>
  </r>
  <r>
    <n v="20"/>
    <s v="TYRE BUILDING HALL # 2 ( Precast)"/>
    <n v="1"/>
    <x v="0"/>
    <n v="33140.800000000003"/>
    <n v="3078.8840476035643"/>
    <n v="18.303999999999998"/>
    <n v="5.5787869551965859"/>
    <n v="2004"/>
    <n v="2022"/>
    <n v="18"/>
    <n v="60"/>
    <n v="0.05"/>
    <n v="1.5833333333333331E-2"/>
    <s v="0"/>
    <n v="0"/>
    <n v="0"/>
    <n v="0"/>
    <n v="0.1"/>
    <n v="0"/>
  </r>
  <r>
    <n v="21"/>
    <s v="TYRE BUILDING HALL # 3"/>
    <n v="1"/>
    <x v="1"/>
    <n v="33140.800000000003"/>
    <n v="3078.8840476035643"/>
    <n v="16.64"/>
    <n v="5.071624504724169"/>
    <n v="2006"/>
    <n v="2022"/>
    <n v="16"/>
    <n v="35"/>
    <n v="0.05"/>
    <n v="2.7142857142857142E-2"/>
    <s v="1500"/>
    <n v="49711200.000000007"/>
    <n v="21588864.000000004"/>
    <n v="28122336.000000004"/>
    <n v="0.1"/>
    <n v="25310102.400000002"/>
  </r>
  <r>
    <n v="22"/>
    <s v="GREEN TYRE STORAGE"/>
    <n v="1"/>
    <x v="5"/>
    <n v="39919.599999999999"/>
    <n v="3708.6557846133837"/>
    <n v="23.295999999999999"/>
    <n v="7.1002743066138372"/>
    <n v="1991"/>
    <n v="2022"/>
    <n v="31"/>
    <n v="35"/>
    <n v="0.1"/>
    <n v="2.5714285714285714E-2"/>
    <s v="0"/>
    <n v="0"/>
    <n v="0"/>
    <n v="0"/>
    <n v="0.1"/>
    <n v="0"/>
  </r>
  <r>
    <n v="23"/>
    <s v="TYRE CURING # 1,2 &amp; FINAL FINISH"/>
    <n v="1"/>
    <x v="6"/>
    <n v="57996.4"/>
    <n v="5388.0470833062373"/>
    <n v="23.295999999999999"/>
    <n v="7.1002743066138372"/>
    <n v="1991"/>
    <n v="2022"/>
    <n v="31"/>
    <n v="60"/>
    <n v="0.1"/>
    <n v="1.5000000000000001E-2"/>
    <s v="0"/>
    <n v="0"/>
    <n v="0"/>
    <n v="0"/>
    <n v="0.1"/>
    <n v="0"/>
  </r>
  <r>
    <n v="24"/>
    <s v="TYRE CURING # 4 &amp; FINAL FINISH, (PRECAST COFFER SLAB)"/>
    <n v="1"/>
    <x v="3"/>
    <n v="28998.2"/>
    <n v="2694.0235416531186"/>
    <n v="23.295999999999999"/>
    <n v="7.1002743066138372"/>
    <n v="1991"/>
    <n v="2022"/>
    <n v="31"/>
    <n v="35"/>
    <n v="0.05"/>
    <n v="2.7142857142857142E-2"/>
    <s v="0"/>
    <n v="0"/>
    <n v="0"/>
    <n v="0"/>
    <n v="0.1"/>
    <n v="0"/>
  </r>
  <r>
    <n v="25"/>
    <s v="TYRE CURING # 5 &amp; FINAL FINISH, (PRECAST COFFER SLAB)"/>
    <n v="1"/>
    <x v="3"/>
    <n v="28998.2"/>
    <n v="2694.0235416531186"/>
    <n v="23.295999999999999"/>
    <n v="7.1002743066138372"/>
    <n v="2004"/>
    <n v="2022"/>
    <n v="18"/>
    <n v="35"/>
    <n v="0.1"/>
    <n v="2.5714285714285714E-2"/>
    <s v="0"/>
    <n v="0"/>
    <n v="0"/>
    <n v="0"/>
    <n v="0.1"/>
    <n v="0"/>
  </r>
  <r>
    <n v="26"/>
    <s v="TYRE CURING # 6 &amp; FINAL FINISH"/>
    <n v="1"/>
    <x v="1"/>
    <n v="28998.2"/>
    <n v="2694.0235416531186"/>
    <n v="23.295999999999999"/>
    <n v="7.1002743066138372"/>
    <n v="2006"/>
    <n v="2022"/>
    <n v="16"/>
    <n v="60"/>
    <n v="0.05"/>
    <n v="1.5833333333333331E-2"/>
    <s v="1700"/>
    <n v="49296940"/>
    <n v="12488558.133333331"/>
    <n v="36808381.866666667"/>
    <n v="0.1"/>
    <n v="33127543.68"/>
  </r>
  <r>
    <n v="27"/>
    <s v="TYRE INSPECTION (MEZZ. FLOOR)"/>
    <n v="1"/>
    <x v="7"/>
    <n v="55925.1"/>
    <n v="5195.6168303310142"/>
    <n v="23.295999999999999"/>
    <n v="7.1002743066138372"/>
    <n v="2006"/>
    <n v="2022"/>
    <n v="16"/>
    <n v="60"/>
    <n v="0.05"/>
    <n v="1.5833333333333331E-2"/>
    <s v="0"/>
    <n v="0"/>
    <n v="0"/>
    <n v="0"/>
    <n v="0.1"/>
    <n v="0"/>
  </r>
  <r>
    <n v="28"/>
    <s v="FGWH # 1,2 (GROUND FLOOR)"/>
    <n v="1"/>
    <x v="4"/>
    <n v="12427.8"/>
    <n v="1154.5815178513365"/>
    <n v="9.3183999999999987"/>
    <n v="2.8401097226455345"/>
    <n v="1991"/>
    <n v="2022"/>
    <n v="31"/>
    <n v="60"/>
    <n v="0.05"/>
    <n v="1.5833333333333331E-2"/>
    <s v="0"/>
    <n v="0"/>
    <n v="0"/>
    <n v="0"/>
    <n v="0.1"/>
    <n v="0"/>
  </r>
  <r>
    <n v="29"/>
    <s v="FGWH # 1,2 (MEZZ. FLOOR), STRUCTURAL"/>
    <n v="1"/>
    <x v="8"/>
    <n v="20713"/>
    <n v="1924.3025297522274"/>
    <n v="29.951999999999998"/>
    <n v="9.1289241085035044"/>
    <n v="1991"/>
    <n v="2022"/>
    <n v="31"/>
    <n v="60"/>
    <n v="0.1"/>
    <n v="1.5000000000000001E-2"/>
    <s v="0"/>
    <n v="0"/>
    <n v="0"/>
    <n v="0"/>
    <n v="0.1"/>
    <n v="0"/>
  </r>
  <r>
    <n v="30"/>
    <s v="FGWH # 3  (GROUND FLOOR)"/>
    <n v="1"/>
    <x v="4"/>
    <n v="6213.9"/>
    <n v="577.29075892566823"/>
    <n v="9.3183999999999987"/>
    <n v="2.8401097226455345"/>
    <n v="2004"/>
    <n v="2022"/>
    <n v="18"/>
    <n v="35"/>
    <n v="0.05"/>
    <n v="2.7142857142857142E-2"/>
    <s v="0"/>
    <n v="0"/>
    <n v="0"/>
    <n v="0"/>
    <n v="0.1"/>
    <n v="0"/>
  </r>
  <r>
    <n v="31"/>
    <s v="FGWH # 3  (MEZZ. FLOOR), RCC "/>
    <n v="1"/>
    <x v="8"/>
    <n v="10356.5"/>
    <n v="962.15126487611371"/>
    <n v="29.951999999999998"/>
    <n v="9.1289241085035044"/>
    <n v="2004"/>
    <n v="2022"/>
    <n v="18"/>
    <n v="35"/>
    <n v="0.05"/>
    <n v="2.7142857142857142E-2"/>
    <s v="0"/>
    <n v="0"/>
    <n v="0"/>
    <n v="0"/>
    <n v="0.1"/>
    <n v="0"/>
  </r>
  <r>
    <n v="32"/>
    <s v="FGWH # 4  (GROUND FLOOR) "/>
    <n v="1"/>
    <x v="0"/>
    <n v="16570.400000000001"/>
    <n v="1539.4420238017822"/>
    <n v="9.984"/>
    <n v="3.0429747028345013"/>
    <n v="2006"/>
    <n v="2022"/>
    <n v="16"/>
    <n v="35"/>
    <n v="0.1"/>
    <n v="2.5714285714285714E-2"/>
    <s v="0"/>
    <n v="0"/>
    <n v="0"/>
    <n v="0"/>
    <n v="0.1"/>
    <n v="0"/>
  </r>
  <r>
    <n v="33"/>
    <s v="FGWH # 4  (MEZZ. FLOOR), RCC"/>
    <n v="1"/>
    <x v="9"/>
    <n v="16570.400000000001"/>
    <n v="1539.4420238017822"/>
    <n v="29.951999999999998"/>
    <n v="9.1289241085035044"/>
    <n v="2006"/>
    <n v="2022"/>
    <n v="16"/>
    <n v="60"/>
    <n v="0.05"/>
    <n v="1.5833333333333331E-2"/>
    <s v="0"/>
    <n v="0"/>
    <n v="0"/>
    <n v="0"/>
    <n v="0.1"/>
    <n v="0"/>
  </r>
  <r>
    <n v="34"/>
    <s v="FGWH # 5"/>
    <n v="1"/>
    <x v="10"/>
    <n v="14499.1"/>
    <n v="1347.0117708265593"/>
    <n v="29.951999999999998"/>
    <n v="9.1289241085035044"/>
    <n v="2011"/>
    <n v="2022"/>
    <n v="11"/>
    <n v="60"/>
    <n v="0.05"/>
    <n v="1.5833333333333331E-2"/>
    <s v="0"/>
    <n v="0"/>
    <n v="0"/>
    <n v="0"/>
    <n v="0.1"/>
    <n v="0"/>
  </r>
  <r>
    <n v="35"/>
    <s v="ANNEXE GROUND  FLOOR"/>
    <n v="1"/>
    <x v="0"/>
    <n v="57727.4"/>
    <n v="5363.0561413614032"/>
    <n v="11.648"/>
    <n v="3.5501371533069186"/>
    <n v="1991"/>
    <n v="2022"/>
    <n v="31"/>
    <n v="60"/>
    <n v="0.05"/>
    <n v="1.5833333333333331E-2"/>
    <s v="0"/>
    <n v="0"/>
    <n v="0"/>
    <n v="0"/>
    <n v="0.1"/>
    <n v="0"/>
  </r>
  <r>
    <n v="36"/>
    <s v="TYRE REPAIR"/>
    <n v="1"/>
    <x v="0"/>
    <n v="2509.6624000000002"/>
    <n v="233.15549196852444"/>
    <n v="13.311999999999999"/>
    <n v="4.0572996037793354"/>
    <n v="1998"/>
    <n v="2022"/>
    <n v="24"/>
    <n v="25"/>
    <n v="0.05"/>
    <n v="3.7999999999999999E-2"/>
    <s v="0"/>
    <n v="0"/>
    <n v="0"/>
    <n v="0"/>
    <n v="0.1"/>
    <n v="0"/>
  </r>
  <r>
    <n v="37"/>
    <s v="TYRE TESTING"/>
    <n v="1"/>
    <x v="0"/>
    <n v="2509.6624000000002"/>
    <n v="233.15549196852444"/>
    <n v="23.295999999999999"/>
    <n v="7.1002743066138372"/>
    <n v="1991"/>
    <n v="2022"/>
    <n v="31"/>
    <n v="35"/>
    <n v="0.05"/>
    <n v="2.7142857142857142E-2"/>
    <s v="2000"/>
    <n v="466310.98393704888"/>
    <n v="392367.38505560253"/>
    <n v="73943.598881446349"/>
    <n v="0.1"/>
    <n v="66549.238993301711"/>
  </r>
  <r>
    <n v="38"/>
    <s v="AHU &amp; TIOLET"/>
    <n v="1"/>
    <x v="0"/>
    <n v="7528.9872000000005"/>
    <n v="699.46647590557336"/>
    <n v="23.295999999999999"/>
    <n v="7.1002743066138372"/>
    <n v="1991"/>
    <n v="2022"/>
    <n v="31"/>
    <n v="60"/>
    <n v="0.05"/>
    <n v="1.5833333333333331E-2"/>
    <s v="2000"/>
    <n v="15057974.4"/>
    <n v="7390955.7679999992"/>
    <n v="7667018.6320000011"/>
    <n v="0.1"/>
    <n v="6900316.7688000016"/>
  </r>
  <r>
    <n v="39"/>
    <s v="MOULD SHOP"/>
    <n v="1"/>
    <x v="0"/>
    <n v="2509.6624000000002"/>
    <n v="233.15549196852444"/>
    <n v="23.295999999999999"/>
    <n v="7.1002743066138372"/>
    <n v="1991"/>
    <n v="2022"/>
    <n v="31"/>
    <n v="60"/>
    <n v="0.05"/>
    <n v="1.5833333333333331E-2"/>
    <s v="2000"/>
    <n v="5019324.8000000007"/>
    <n v="2463651.9226666666"/>
    <n v="2555672.8773333342"/>
    <n v="0.1"/>
    <n v="2300105.589600001"/>
  </r>
  <r>
    <n v="40"/>
    <s v="SUB STATION &amp; TRANSFORMER (PCC# 3)"/>
    <n v="1"/>
    <x v="0"/>
    <n v="2509.6624000000002"/>
    <n v="233.15549196852444"/>
    <n v="23.295999999999999"/>
    <n v="7.1002743066138372"/>
    <n v="1991"/>
    <n v="2022"/>
    <n v="31"/>
    <n v="60"/>
    <n v="0.05"/>
    <n v="1.5833333333333331E-2"/>
    <s v="2000"/>
    <n v="5019324.8000000007"/>
    <n v="2463651.9226666666"/>
    <n v="2555672.8773333342"/>
    <n v="0.1"/>
    <n v="2300105.589600001"/>
  </r>
  <r>
    <n v="41"/>
    <s v="ECS ROOM"/>
    <n v="1"/>
    <x v="0"/>
    <n v="3750.9360000000001"/>
    <n v="348.47369447876702"/>
    <n v="23.295999999999999"/>
    <n v="7.1002743066138372"/>
    <n v="1991"/>
    <n v="2022"/>
    <n v="31"/>
    <n v="60"/>
    <n v="0.05"/>
    <n v="1.5833333333333331E-2"/>
    <s v="2000"/>
    <n v="2000000"/>
    <n v="981666.66666666651"/>
    <n v="1018333.3333333335"/>
    <n v="0.1"/>
    <n v="916500.00000000012"/>
  </r>
  <r>
    <n v="42"/>
    <s v="TYRE  CAFÉ (PRODUCT GALLERY)"/>
    <n v="1"/>
    <x v="0"/>
    <n v="3750.9360000000001"/>
    <n v="348.47369447876702"/>
    <n v="11.648"/>
    <n v="3.5501371533069186"/>
    <n v="2005"/>
    <n v="2022"/>
    <n v="17"/>
    <n v="60"/>
    <n v="0.05"/>
    <n v="1.5833333333333331E-2"/>
    <s v="0"/>
    <n v="0"/>
    <n v="0"/>
    <n v="0"/>
    <n v="0.1"/>
    <n v="0"/>
  </r>
  <r>
    <n v="43"/>
    <s v="LABORATORY"/>
    <n v="1"/>
    <x v="0"/>
    <n v="2509.6624000000002"/>
    <n v="233.15549196852444"/>
    <n v="11.648"/>
    <n v="3.5501371533069186"/>
    <n v="1991"/>
    <n v="2022"/>
    <n v="31"/>
    <n v="60"/>
    <n v="0.05"/>
    <n v="1.5833333333333331E-2"/>
    <s v="0"/>
    <n v="0"/>
    <n v="0"/>
    <n v="0"/>
    <n v="0.1"/>
    <n v="0"/>
  </r>
  <r>
    <n v="44"/>
    <s v="BU 2 OFFICE &amp; CHANGING ROOM"/>
    <n v="1"/>
    <x v="0"/>
    <n v="3750.9360000000001"/>
    <n v="348.47369447876702"/>
    <n v="11.648"/>
    <n v="3.5501371533069186"/>
    <n v="1991"/>
    <n v="2022"/>
    <n v="31"/>
    <n v="60"/>
    <n v="0.05"/>
    <n v="1.5833333333333331E-2"/>
    <s v="0"/>
    <n v="0"/>
    <n v="0"/>
    <n v="0"/>
    <n v="0.1"/>
    <n v="0"/>
  </r>
  <r>
    <n v="45"/>
    <s v="ENTYR GATE"/>
    <n v="1"/>
    <x v="0"/>
    <n v="1254.8312000000001"/>
    <n v="116.57774598426222"/>
    <n v="11.648"/>
    <n v="3.5501371533069186"/>
    <n v="1991"/>
    <n v="2022"/>
    <n v="31"/>
    <n v="60"/>
    <n v="0.05"/>
    <n v="1.5833333333333331E-2"/>
    <s v="0"/>
    <n v="4529350"/>
    <m/>
    <m/>
    <m/>
    <n v="4529350"/>
  </r>
  <r>
    <n v="46"/>
    <s v="EMMERGENCY STORE / DOJO ROOM"/>
    <n v="1"/>
    <x v="0"/>
    <n v="2509.6624000000002"/>
    <n v="233.15549196852444"/>
    <n v="11.648"/>
    <n v="3.5501371533069186"/>
    <n v="1991"/>
    <n v="2022"/>
    <n v="31"/>
    <n v="60"/>
    <n v="0.05"/>
    <n v="1.5833333333333331E-2"/>
    <s v="0"/>
    <n v="23430000"/>
    <m/>
    <m/>
    <m/>
    <n v="23430000"/>
  </r>
  <r>
    <n v="47"/>
    <s v="LINER REROLLING AREA"/>
    <n v="1"/>
    <x v="0"/>
    <n v="3047.4472000000001"/>
    <n v="283.11738310463682"/>
    <n v="23.295999999999999"/>
    <n v="7.1002743066138372"/>
    <n v="1991"/>
    <n v="2022"/>
    <n v="31"/>
    <n v="60"/>
    <n v="0.05"/>
    <n v="1.5833333333333331E-2"/>
    <s v="2000"/>
    <n v="138429000"/>
    <m/>
    <m/>
    <m/>
    <n v="138429000"/>
  </r>
  <r>
    <n v="48"/>
    <s v="WORK SHOP"/>
    <n v="1"/>
    <x v="0"/>
    <n v="5557.1096000000007"/>
    <n v="516.27287507316134"/>
    <n v="23.295999999999999"/>
    <n v="7.1002743066138372"/>
    <n v="1991"/>
    <n v="2022"/>
    <n v="31"/>
    <n v="60"/>
    <m/>
    <m/>
    <s v="2000"/>
    <m/>
    <m/>
    <m/>
    <m/>
    <m/>
  </r>
  <r>
    <n v="49"/>
    <s v="AC CONTROL ROOM &amp; TRANSFORMER ROOM"/>
    <n v="1"/>
    <x v="0"/>
    <n v="8432.8271999999997"/>
    <n v="783.43604084021592"/>
    <n v="23.295999999999999"/>
    <n v="7.1002743066138372"/>
    <n v="1991"/>
    <n v="2022"/>
    <n v="31"/>
    <n v="60"/>
    <m/>
    <m/>
    <s v="2000"/>
    <m/>
    <m/>
    <m/>
    <m/>
    <m/>
  </r>
  <r>
    <n v="50"/>
    <s v="DC CONTROL ROOM"/>
    <n v="1"/>
    <x v="0"/>
    <n v="3764.4936000000002"/>
    <n v="349.73323795278668"/>
    <n v="23.295999999999999"/>
    <n v="7.1002743066138372"/>
    <n v="1991"/>
    <n v="2022"/>
    <n v="31"/>
    <n v="60"/>
    <m/>
    <m/>
    <s v="2000"/>
    <m/>
    <m/>
    <m/>
    <m/>
    <m/>
  </r>
  <r>
    <n v="51"/>
    <s v="ANNEXE OFFICE"/>
    <n v="1"/>
    <x v="0"/>
    <n v="17567.529200000001"/>
    <n v="1632.0784474028931"/>
    <n v="13.311999999999999"/>
    <n v="4.0572996037793354"/>
    <n v="1991"/>
    <n v="2022"/>
    <n v="31"/>
    <n v="60"/>
    <m/>
    <m/>
    <s v="0"/>
    <m/>
    <m/>
    <m/>
    <m/>
    <m/>
  </r>
  <r>
    <n v="52"/>
    <s v="BULK OIL "/>
    <n v="1"/>
    <x v="0"/>
    <n v="664.43"/>
    <n v="61.727626603740276"/>
    <n v="10"/>
    <n v="3.047851264858275"/>
    <n v="1991"/>
    <n v="2022"/>
    <n v="31"/>
    <n v="60"/>
    <m/>
    <m/>
    <s v="0"/>
    <m/>
    <m/>
    <m/>
    <m/>
    <m/>
  </r>
  <r>
    <n v="53"/>
    <s v="CARBON BLACK STORAGE"/>
    <n v="1"/>
    <x v="7"/>
    <n v="13226.998117680001"/>
    <n v="1228.8295243991492"/>
    <n v="18.303999999999998"/>
    <n v="5.5787869551965859"/>
    <n v="1991"/>
    <n v="2022"/>
    <n v="31"/>
    <n v="40"/>
    <m/>
    <m/>
    <s v="0"/>
    <m/>
    <m/>
    <m/>
    <m/>
    <m/>
  </r>
  <r>
    <n v="54"/>
    <s v="CARBON BLACK STORAGE (MACHINE ROOM)"/>
    <n v="1"/>
    <x v="7"/>
    <n v="2025.7491539999999"/>
    <n v="188.19843681193618"/>
    <n v="36.607999999999997"/>
    <n v="11.157573910393172"/>
    <n v="1991"/>
    <n v="2022"/>
    <n v="31"/>
    <n v="40"/>
    <m/>
    <m/>
    <s v="0"/>
    <m/>
    <m/>
    <m/>
    <m/>
    <m/>
  </r>
  <r>
    <n v="55"/>
    <s v="CARBON BLACK STORAGE (BLOWER &amp; CONTROL ROOM)"/>
    <n v="1"/>
    <x v="0"/>
    <n v="677.88"/>
    <n v="62.977173700981986"/>
    <n v="9.3183999999999987"/>
    <n v="2.8401097226455345"/>
    <n v="1991"/>
    <n v="2022"/>
    <n v="31"/>
    <n v="60"/>
    <m/>
    <m/>
    <s v="0"/>
    <m/>
    <m/>
    <m/>
    <m/>
    <m/>
  </r>
  <r>
    <n v="56"/>
    <s v="ELASTO TANK "/>
    <n v="0"/>
    <x v="11"/>
    <n v="2318.7799999999997"/>
    <n v="215.4219195644701"/>
    <n v="0"/>
    <n v="0"/>
    <n v="1991"/>
    <n v="2022"/>
    <n v="31"/>
    <n v="0"/>
    <m/>
    <m/>
    <s v="0"/>
    <m/>
    <m/>
    <m/>
    <m/>
    <m/>
  </r>
  <r>
    <n v="57"/>
    <s v="ELASTO TANK (CONTROL ROOM)"/>
    <n v="1"/>
    <x v="0"/>
    <n v="473.44"/>
    <n v="43.984057822908056"/>
    <n v="13.311999999999999"/>
    <n v="4.0572996037793354"/>
    <n v="1991"/>
    <n v="2022"/>
    <n v="31"/>
    <n v="60"/>
    <m/>
    <m/>
    <s v="0"/>
    <m/>
    <m/>
    <m/>
    <m/>
    <m/>
  </r>
  <r>
    <n v="58"/>
    <s v="10 KL HSD TANK"/>
    <n v="0"/>
    <x v="11"/>
    <n v="439.86880000000002"/>
    <n v="40.86518826819276"/>
    <n v="0"/>
    <n v="0"/>
    <n v="1991"/>
    <n v="2022"/>
    <n v="31"/>
    <n v="0"/>
    <m/>
    <m/>
    <s v="0"/>
    <m/>
    <m/>
    <m/>
    <m/>
    <m/>
  </r>
  <r>
    <n v="59"/>
    <s v="CPH (CEMENT HOUSE)"/>
    <n v="1"/>
    <x v="12"/>
    <n v="2051.1788000000001"/>
    <n v="190.56093051774917"/>
    <n v="19.968"/>
    <n v="6.0859494056690027"/>
    <n v="1991"/>
    <n v="2022"/>
    <n v="31"/>
    <n v="40"/>
    <m/>
    <m/>
    <s v="0"/>
    <m/>
    <m/>
    <m/>
    <m/>
    <m/>
  </r>
  <r>
    <n v="60"/>
    <s v="COOLING TOWER NO. 1"/>
    <n v="0"/>
    <x v="11"/>
    <n v="2944.1511999999998"/>
    <n v="273.52086139782051"/>
    <n v="0"/>
    <n v="0"/>
    <n v="1991"/>
    <n v="2022"/>
    <n v="31"/>
    <n v="0"/>
    <m/>
    <m/>
    <s v="0"/>
    <m/>
    <m/>
    <m/>
    <m/>
    <m/>
  </r>
  <r>
    <n v="61"/>
    <s v="COMPRESSOR/CHILLER"/>
    <n v="1"/>
    <x v="12"/>
    <n v="12080.144400000001"/>
    <n v="1122.283224481833"/>
    <n v="19.968"/>
    <n v="6.0859494056690027"/>
    <n v="1991"/>
    <n v="2022"/>
    <n v="31"/>
    <n v="40"/>
    <m/>
    <m/>
    <s v="0"/>
    <m/>
    <m/>
    <m/>
    <m/>
    <m/>
  </r>
  <r>
    <n v="62"/>
    <s v="GENERAL STORES"/>
    <n v="1"/>
    <x v="12"/>
    <n v="11652.326800000001"/>
    <n v="1082.5376304127687"/>
    <n v="28.288"/>
    <n v="8.6217616580310885"/>
    <n v="1991"/>
    <n v="2022"/>
    <n v="31"/>
    <n v="40"/>
    <m/>
    <m/>
    <s v="0"/>
    <m/>
    <m/>
    <m/>
    <m/>
    <m/>
  </r>
  <r>
    <n v="63"/>
    <s v="6.6 KVA STATION"/>
    <n v="1"/>
    <x v="0"/>
    <n v="5658.8991999999998"/>
    <n v="525.72944750508645"/>
    <n v="19.968"/>
    <n v="6.0859494056690027"/>
    <n v="1991"/>
    <n v="2022"/>
    <n v="31"/>
    <n v="60"/>
    <m/>
    <m/>
    <s v="0"/>
    <m/>
    <m/>
    <m/>
    <m/>
    <m/>
  </r>
  <r>
    <n v="64"/>
    <s v="MATERIAL HAND. WORKSHOP"/>
    <n v="1"/>
    <x v="0"/>
    <n v="2805.7775999999999"/>
    <n v="260.66552086139779"/>
    <n v="23.295999999999999"/>
    <n v="7.1002743066138372"/>
    <n v="1991"/>
    <n v="2022"/>
    <n v="31"/>
    <n v="60"/>
    <m/>
    <m/>
    <s v="2000"/>
    <m/>
    <m/>
    <m/>
    <m/>
    <m/>
  </r>
  <r>
    <n v="65"/>
    <s v="BOILER HOUSE 20 TPH (MEZZ. FLOOR)"/>
    <n v="1"/>
    <x v="0"/>
    <n v="1016.8199999999999"/>
    <n v="94.465760551472982"/>
    <n v="14.975999999999999"/>
    <n v="4.5644620542517522"/>
    <n v="1991"/>
    <n v="2022"/>
    <n v="31"/>
    <n v="60"/>
    <m/>
    <m/>
    <s v="0"/>
    <m/>
    <m/>
    <m/>
    <m/>
    <m/>
  </r>
  <r>
    <n v="66"/>
    <s v="BOILER HOUSE 20 TPH (RCC SLAB)"/>
    <n v="1"/>
    <x v="0"/>
    <n v="2071.3000000000002"/>
    <n v="192.43025297522277"/>
    <n v="11.648"/>
    <n v="3.5501371533069186"/>
    <n v="1991"/>
    <n v="2022"/>
    <n v="31"/>
    <n v="60"/>
    <m/>
    <m/>
    <s v="0"/>
    <m/>
    <m/>
    <m/>
    <m/>
    <m/>
  </r>
  <r>
    <n v="67"/>
    <s v="COOLING TOWER NO. 2"/>
    <n v="0"/>
    <x v="11"/>
    <n v="2944.1511999999998"/>
    <n v="273.52086139782051"/>
    <n v="0"/>
    <n v="0"/>
    <n v="1991"/>
    <n v="2022"/>
    <n v="31"/>
    <n v="0"/>
    <m/>
    <m/>
    <s v="0"/>
    <m/>
    <m/>
    <m/>
    <m/>
    <m/>
  </r>
  <r>
    <n v="68"/>
    <s v="COOLING TOWER NO. 3"/>
    <n v="0"/>
    <x v="11"/>
    <n v="2943.9360000000001"/>
    <n v="273.50086864426464"/>
    <n v="0"/>
    <n v="0"/>
    <n v="1991"/>
    <n v="2022"/>
    <n v="31"/>
    <n v="0"/>
    <m/>
    <m/>
    <s v="0"/>
    <m/>
    <m/>
    <m/>
    <m/>
    <m/>
  </r>
  <r>
    <n v="69"/>
    <s v="D.M.PLANT"/>
    <n v="1"/>
    <x v="0"/>
    <n v="4224.1607999999997"/>
    <n v="392.43775954811917"/>
    <n v="23.295999999999999"/>
    <n v="7.1002743066138372"/>
    <n v="1991"/>
    <n v="2022"/>
    <n v="31"/>
    <n v="60"/>
    <m/>
    <m/>
    <s v="2000"/>
    <m/>
    <m/>
    <m/>
    <m/>
    <m/>
  </r>
  <r>
    <n v="70"/>
    <s v="D.M.PLANT YARD"/>
    <n v="1"/>
    <x v="11"/>
    <n v="6461.38"/>
    <n v="600.28242551491564"/>
    <n v="0"/>
    <n v="0"/>
    <n v="1991"/>
    <n v="2022"/>
    <n v="31"/>
    <n v="0"/>
    <m/>
    <m/>
    <s v="0"/>
    <m/>
    <m/>
    <m/>
    <m/>
    <m/>
  </r>
  <r>
    <n v="71"/>
    <s v="PLANT GATE"/>
    <n v="1"/>
    <x v="0"/>
    <n v="4789.8139999999994"/>
    <n v="444.9887122697163"/>
    <n v="11.648"/>
    <n v="3.5501371533069186"/>
    <n v="1991"/>
    <n v="2022"/>
    <n v="31"/>
    <n v="60"/>
    <m/>
    <m/>
    <s v="0"/>
    <m/>
    <m/>
    <m/>
    <m/>
    <m/>
  </r>
  <r>
    <n v="72"/>
    <s v="WEIGH BRIDGE # 1 &amp; 2"/>
    <n v="1"/>
    <x v="0"/>
    <n v="217.56719999999999"/>
    <n v="20.212673844981836"/>
    <n v="8.32"/>
    <n v="2.5358122523620845"/>
    <n v="1991"/>
    <n v="2022"/>
    <n v="31"/>
    <n v="60"/>
    <m/>
    <m/>
    <s v="0"/>
    <m/>
    <m/>
    <m/>
    <m/>
    <m/>
  </r>
  <r>
    <n v="73"/>
    <s v="CHEMICAL HOUSE - 1"/>
    <n v="1"/>
    <x v="12"/>
    <n v="225.96"/>
    <n v="20.992391233660662"/>
    <n v="14.975999999999999"/>
    <n v="4.5644620542517522"/>
    <n v="1991"/>
    <n v="2022"/>
    <n v="31"/>
    <n v="40"/>
    <m/>
    <m/>
    <s v="0"/>
    <m/>
    <m/>
    <m/>
    <m/>
    <m/>
  </r>
  <r>
    <n v="74"/>
    <s v="CHEMICAL HOUSE - 2"/>
    <n v="1"/>
    <x v="12"/>
    <n v="129.12"/>
    <n v="11.995652133520379"/>
    <n v="21.631999999999998"/>
    <n v="6.5931118561414195"/>
    <n v="1991"/>
    <n v="2022"/>
    <n v="31"/>
    <n v="40"/>
    <m/>
    <m/>
    <s v="0"/>
    <m/>
    <m/>
    <m/>
    <m/>
    <m/>
  </r>
  <r>
    <n v="75"/>
    <s v="PUMP HOUSE"/>
    <n v="1"/>
    <x v="0"/>
    <n v="2135.3219999999997"/>
    <n v="198.37809715809323"/>
    <n v="36.607999999999997"/>
    <n v="11.157573910393172"/>
    <n v="1991"/>
    <n v="2022"/>
    <n v="31"/>
    <n v="60"/>
    <m/>
    <m/>
    <s v="2000"/>
    <m/>
    <m/>
    <m/>
    <m/>
    <m/>
  </r>
  <r>
    <n v="76"/>
    <s v="CAR STAND"/>
    <n v="1"/>
    <x v="0"/>
    <n v="6589.9620000000004"/>
    <n v="612.22809576454642"/>
    <n v="10.316800000000001"/>
    <n v="3.144407192928985"/>
    <n v="1991"/>
    <n v="2022"/>
    <n v="31"/>
    <n v="60"/>
    <m/>
    <m/>
    <s v="0"/>
    <m/>
    <m/>
    <m/>
    <m/>
    <m/>
  </r>
  <r>
    <n v="77"/>
    <s v="MAIN GATE"/>
    <n v="1"/>
    <x v="0"/>
    <n v="89.953599999999994"/>
    <n v="8.3569709863525308"/>
    <n v="8.4863999999999997"/>
    <n v="2.5865284974093261"/>
    <n v="1991"/>
    <n v="2022"/>
    <n v="31"/>
    <n v="60"/>
    <m/>
    <m/>
    <s v="0"/>
    <m/>
    <m/>
    <m/>
    <m/>
    <m/>
  </r>
  <r>
    <n v="78"/>
    <s v="TRAINING CENTRE (HRD)"/>
    <n v="1"/>
    <x v="0"/>
    <n v="3442.3391999999999"/>
    <n v="319.80408587965331"/>
    <n v="12"/>
    <n v="3.6574215178299299"/>
    <n v="1991"/>
    <n v="2022"/>
    <n v="31"/>
    <n v="60"/>
    <m/>
    <m/>
    <s v="0"/>
    <m/>
    <m/>
    <m/>
    <m/>
    <m/>
  </r>
  <r>
    <n v="79"/>
    <s v="CANTEEN "/>
    <n v="1"/>
    <x v="0"/>
    <n v="7047.3696"/>
    <n v="654.72269344754227"/>
    <n v="15"/>
    <n v="4.5717768972874122"/>
    <n v="1991"/>
    <n v="2022"/>
    <n v="31"/>
    <n v="60"/>
    <m/>
    <m/>
    <s v="0"/>
    <m/>
    <m/>
    <m/>
    <m/>
    <m/>
  </r>
  <r>
    <n v="80"/>
    <s v="WATER RESERVOIR TANK, CAPACITY: 2500 CUM."/>
    <n v="1"/>
    <x v="0"/>
    <n v="8113.04"/>
    <n v="753.72680905619711"/>
    <n v="14.975999999999999"/>
    <n v="4.5644620542517522"/>
    <n v="1991"/>
    <n v="2022"/>
    <n v="31"/>
    <n v="60"/>
    <m/>
    <m/>
    <s v="0"/>
    <m/>
    <m/>
    <m/>
    <m/>
    <m/>
  </r>
  <r>
    <n v="81"/>
    <s v="WATER RESERVOIR TANK, CAPACITY: 2475 CUM."/>
    <n v="0"/>
    <x v="13"/>
    <n v="8113.04"/>
    <n v="753.72680905619711"/>
    <n v="14.975999999999999"/>
    <n v="4.5644620542517522"/>
    <n v="1991"/>
    <n v="2022"/>
    <n v="31"/>
    <n v="40"/>
    <m/>
    <m/>
    <s v="0"/>
    <m/>
    <m/>
    <m/>
    <m/>
    <m/>
  </r>
  <r>
    <n v="82"/>
    <s v="WATER CLARIFLACULATOR, CAPACITY (630.0 CUM.)"/>
    <n v="0"/>
    <x v="11"/>
    <n v="3120.4"/>
    <n v="289.89492656007582"/>
    <n v="13.311999999999999"/>
    <n v="4.0572996037793354"/>
    <n v="1991"/>
    <n v="2022"/>
    <n v="31"/>
    <n v="0"/>
    <m/>
    <m/>
    <s v="0"/>
    <m/>
    <m/>
    <m/>
    <m/>
    <m/>
  </r>
  <r>
    <n v="83"/>
    <s v="L.S/H.S. TANK"/>
    <n v="0"/>
    <x v="11"/>
    <n v="2586.7040000000002"/>
    <n v="240.31289774152495"/>
    <n v="15"/>
    <n v="4.5717768972874122"/>
    <n v="1991"/>
    <n v="2022"/>
    <n v="31"/>
    <n v="0"/>
    <m/>
    <m/>
    <s v="0"/>
    <m/>
    <m/>
    <m/>
    <m/>
    <m/>
  </r>
  <r>
    <n v="84"/>
    <s v="50 KL HSD TANK"/>
    <n v="0"/>
    <x v="11"/>
    <n v="215.4152"/>
    <n v="20.012746309423164"/>
    <n v="0"/>
    <n v="0"/>
    <n v="1991"/>
    <n v="2022"/>
    <n v="31"/>
    <n v="0"/>
    <m/>
    <m/>
    <s v="0"/>
    <m/>
    <m/>
    <m/>
    <m/>
    <m/>
  </r>
  <r>
    <n v="85"/>
    <s v="SULPHUR ROOM"/>
    <n v="1"/>
    <x v="0"/>
    <n v="591.79999999999995"/>
    <n v="54.980072278635063"/>
    <n v="15"/>
    <n v="4.5717768972874122"/>
    <n v="1991"/>
    <n v="2022"/>
    <n v="31"/>
    <n v="60"/>
    <m/>
    <m/>
    <s v="0"/>
    <m/>
    <m/>
    <m/>
    <m/>
    <m/>
  </r>
  <r>
    <n v="86"/>
    <s v="132 KVA YARD SUB STATION"/>
    <n v="0"/>
    <x v="14"/>
    <n v="23859.869599999998"/>
    <n v="2216.6565649996746"/>
    <n v="0"/>
    <n v="0"/>
    <n v="1991"/>
    <n v="2022"/>
    <n v="31"/>
    <n v="0"/>
    <m/>
    <m/>
    <s v="0"/>
    <m/>
    <m/>
    <m/>
    <m/>
    <m/>
  </r>
  <r>
    <n v="87"/>
    <s v="ASH SILO (20 TPH BOILER)"/>
    <n v="0"/>
    <x v="14"/>
    <n v="1130.4456"/>
    <n v="105.02193442897092"/>
    <n v="61.567999999999998"/>
    <n v="18.765010667479427"/>
    <n v="1991"/>
    <n v="2022"/>
    <n v="31"/>
    <n v="0"/>
    <m/>
    <m/>
    <s v="0"/>
    <m/>
    <m/>
    <m/>
    <m/>
    <m/>
  </r>
  <r>
    <n v="88"/>
    <s v="ASH SILO (32 TPH BOILER)"/>
    <n v="0"/>
    <x v="14"/>
    <n v="1130.4456"/>
    <n v="105.02193442897092"/>
    <n v="61.567999999999998"/>
    <n v="18.765010667479427"/>
    <n v="2019"/>
    <n v="2022"/>
    <n v="3"/>
    <n v="0"/>
    <m/>
    <m/>
    <s v="0"/>
    <m/>
    <m/>
    <m/>
    <m/>
    <m/>
  </r>
  <r>
    <n v="89"/>
    <s v="TWIN O.H. TANK, CAPACITY: 68.0 CUM."/>
    <n v="2"/>
    <x v="14"/>
    <n v="93.073999999999998"/>
    <n v="8.646865912912606"/>
    <n v="93.183999999999997"/>
    <n v="28.401097226455349"/>
    <n v="1991"/>
    <n v="2022"/>
    <n v="31"/>
    <n v="0"/>
    <m/>
    <m/>
    <s v="0"/>
    <m/>
    <m/>
    <m/>
    <m/>
    <m/>
  </r>
  <r>
    <n v="90"/>
    <s v="BACK WASH TANK, CAPACITY: 150.CUM."/>
    <n v="1"/>
    <x v="14"/>
    <n v="1076"/>
    <n v="99.963767779336493"/>
    <n v="14.975999999999999"/>
    <n v="4.5644620542517522"/>
    <n v="1991"/>
    <n v="2022"/>
    <n v="31"/>
    <n v="0"/>
    <m/>
    <m/>
    <s v="0"/>
    <m/>
    <m/>
    <m/>
    <m/>
    <m/>
  </r>
  <r>
    <n v="91"/>
    <s v="COAL CRUSHER"/>
    <n v="1"/>
    <x v="15"/>
    <n v="490.11799999999994"/>
    <n v="45.533496223487766"/>
    <n v="33.28"/>
    <n v="10.143249009448338"/>
    <n v="1991"/>
    <n v="2022"/>
    <n v="31"/>
    <n v="40"/>
    <m/>
    <m/>
    <s v="0"/>
    <m/>
    <m/>
    <m/>
    <m/>
    <m/>
  </r>
  <r>
    <n v="92"/>
    <s v="SECURITY BARRAK"/>
    <n v="1"/>
    <x v="0"/>
    <n v="2853.1216000000004"/>
    <n v="265.06392664368866"/>
    <n v="11.648"/>
    <n v="3.5501371533069186"/>
    <n v="1991"/>
    <n v="2022"/>
    <n v="31"/>
    <n v="60"/>
    <m/>
    <m/>
    <s v="0"/>
    <m/>
    <m/>
    <m/>
    <m/>
    <m/>
  </r>
  <r>
    <n v="93"/>
    <s v="SECURITY BARRAK (R.S.O.)"/>
    <n v="1"/>
    <x v="16"/>
    <n v="827.98199999999997"/>
    <n v="76.92211930619942"/>
    <n v="9.984"/>
    <n v="3.0429747028345013"/>
    <n v="1991"/>
    <n v="2022"/>
    <n v="31"/>
    <n v="40"/>
    <m/>
    <m/>
    <s v="0"/>
    <m/>
    <m/>
    <m/>
    <m/>
    <m/>
  </r>
  <r>
    <n v="94"/>
    <s v="NEPTHA YARD (OPEN )"/>
    <n v="1"/>
    <x v="11"/>
    <n v="7994.68"/>
    <n v="742.73079460047018"/>
    <n v="9.984"/>
    <n v="3.0429747028345013"/>
    <n v="1991"/>
    <n v="2022"/>
    <n v="31"/>
    <n v="0"/>
    <m/>
    <m/>
    <s v="0"/>
    <m/>
    <m/>
    <m/>
    <m/>
    <m/>
  </r>
  <r>
    <n v="95"/>
    <s v="CHIMNEY NEAR THERMOPACK"/>
    <n v="1"/>
    <x v="11"/>
    <n v="77.256799999999998"/>
    <n v="7.1773985265563596"/>
    <n v="199.67999999999998"/>
    <n v="60.859494056690025"/>
    <n v="1991"/>
    <n v="2022"/>
    <n v="31"/>
    <n v="0"/>
    <m/>
    <m/>
    <s v="0"/>
    <m/>
    <m/>
    <m/>
    <m/>
    <m/>
  </r>
  <r>
    <n v="96"/>
    <s v="CHIMNEY NEAR  20 T BOILER"/>
    <n v="1"/>
    <x v="11"/>
    <n v="169.47"/>
    <n v="15.744293425245496"/>
    <n v="199.67999999999998"/>
    <n v="60.859494056690025"/>
    <n v="1991"/>
    <n v="2022"/>
    <n v="31"/>
    <n v="0"/>
    <m/>
    <m/>
    <s v="0"/>
    <m/>
    <m/>
    <m/>
    <m/>
    <m/>
  </r>
  <r>
    <n v="97"/>
    <s v="MEZANINE FLOORS IN PLANT"/>
    <n v="1"/>
    <x v="0"/>
    <n v="16570.400000000001"/>
    <n v="1539.4420238017822"/>
    <n v="13.311999999999999"/>
    <n v="4.0572996037793354"/>
    <n v="1991"/>
    <n v="2022"/>
    <n v="31"/>
    <n v="60"/>
    <m/>
    <m/>
    <s v="0"/>
    <m/>
    <m/>
    <m/>
    <m/>
    <m/>
  </r>
  <r>
    <n v="98"/>
    <s v="NEW DG HOUSE - (PART-1)"/>
    <n v="1"/>
    <x v="0"/>
    <n v="3690.68"/>
    <n v="342.87572348312415"/>
    <n v="23.295999999999999"/>
    <n v="7.1002743066138372"/>
    <n v="1991"/>
    <n v="2022"/>
    <n v="31"/>
    <n v="60"/>
    <m/>
    <m/>
    <s v="2000"/>
    <m/>
    <m/>
    <m/>
    <m/>
    <m/>
  </r>
  <r>
    <n v="99"/>
    <s v="NEW DG HOUSE - (PART-2)"/>
    <n v="1"/>
    <x v="12"/>
    <n v="7381.36"/>
    <n v="685.7514469662483"/>
    <n v="46.591999999999999"/>
    <n v="14.200548613227674"/>
    <n v="1991"/>
    <n v="2022"/>
    <n v="31"/>
    <n v="40"/>
    <m/>
    <m/>
    <s v="0"/>
    <m/>
    <m/>
    <m/>
    <m/>
    <m/>
  </r>
  <r>
    <n v="100"/>
    <s v="COOLING TOWER NO. # 4. "/>
    <n v="0"/>
    <x v="11"/>
    <n v="3228"/>
    <n v="299.89130333800949"/>
    <n v="29.951999999999998"/>
    <n v="9.1289241085035044"/>
    <n v="1991"/>
    <n v="2022"/>
    <n v="31"/>
    <n v="0"/>
    <m/>
    <m/>
    <s v="0"/>
    <m/>
    <m/>
    <m/>
    <m/>
    <m/>
  </r>
  <r>
    <n v="101"/>
    <s v="50 TPH BOILER HOUSE (GROUND FLOOR), NOT IN USE"/>
    <n v="1"/>
    <x v="0"/>
    <n v="1129.8"/>
    <n v="104.96195616830332"/>
    <n v="14.975999999999999"/>
    <n v="4.5644620542517522"/>
    <n v="1991"/>
    <n v="2022"/>
    <n v="31"/>
    <n v="60"/>
    <m/>
    <m/>
    <s v="0"/>
    <m/>
    <m/>
    <m/>
    <m/>
    <m/>
  </r>
  <r>
    <n v="102"/>
    <s v="50 TPH BOILER HOUSE (MEZZ. FLOOR), NOT IN USE"/>
    <n v="1"/>
    <x v="0"/>
    <n v="1129.8"/>
    <n v="104.96195616830332"/>
    <n v="16.64"/>
    <n v="5.071624504724169"/>
    <n v="1991"/>
    <n v="2022"/>
    <n v="31"/>
    <n v="60"/>
    <m/>
    <m/>
    <s v="0"/>
    <m/>
    <m/>
    <m/>
    <m/>
    <m/>
  </r>
  <r>
    <n v="103"/>
    <s v="CHIMNEY NEAR  50 T BOILER"/>
    <n v="0"/>
    <x v="11"/>
    <n v="215.2"/>
    <n v="19.992753555867296"/>
    <n v="199.67999999999998"/>
    <n v="60.859494056690025"/>
    <n v="1991"/>
    <n v="2022"/>
    <n v="31"/>
    <n v="0"/>
    <m/>
    <m/>
    <s v="0"/>
    <m/>
    <m/>
    <m/>
    <m/>
    <m/>
  </r>
  <r>
    <n v="104"/>
    <s v="TURBINE RCC ROOF,NOT IN USE"/>
    <n v="2"/>
    <x v="0"/>
    <n v="11233.44"/>
    <n v="1043.6217356162731"/>
    <n v="53.247999999999998"/>
    <n v="16.229198415117342"/>
    <n v="1991"/>
    <n v="2022"/>
    <n v="31"/>
    <n v="60"/>
    <m/>
    <m/>
    <s v="2000"/>
    <m/>
    <m/>
    <m/>
    <m/>
    <m/>
  </r>
  <r>
    <n v="105"/>
    <s v="TURBINE (MEZZ. FLOOR), NOT IN USE"/>
    <n v="1"/>
    <x v="0"/>
    <n v="9813.119999999999"/>
    <n v="911.66956214754873"/>
    <n v="24.959999999999997"/>
    <n v="7.6074367570862531"/>
    <n v="1991"/>
    <n v="2022"/>
    <n v="31"/>
    <n v="60"/>
    <m/>
    <m/>
    <s v="2000"/>
    <m/>
    <m/>
    <m/>
    <m/>
    <m/>
  </r>
  <r>
    <n v="106"/>
    <s v="COOLING TOWER NO. # 5"/>
    <n v="0"/>
    <x v="11"/>
    <n v="2944.1511999999998"/>
    <n v="273.52086139782051"/>
    <n v="0"/>
    <n v="0"/>
    <n v="1991"/>
    <n v="2022"/>
    <n v="31"/>
    <n v="0"/>
    <m/>
    <m/>
    <s v="0"/>
    <m/>
    <m/>
    <m/>
    <m/>
    <m/>
  </r>
  <r>
    <n v="107"/>
    <s v="HAZARDUS STORE (2 NOS.)"/>
    <n v="1"/>
    <x v="12"/>
    <n v="1076"/>
    <n v="99.963767779336493"/>
    <n v="8.6527999999999992"/>
    <n v="2.6372447424565677"/>
    <n v="1998"/>
    <n v="2022"/>
    <n v="24"/>
    <n v="40"/>
    <m/>
    <m/>
    <s v="0"/>
    <m/>
    <m/>
    <m/>
    <m/>
    <m/>
  </r>
  <r>
    <n v="108"/>
    <s v="PROJECT GODOWN"/>
    <n v="1"/>
    <x v="17"/>
    <n v="4454.6400000000003"/>
    <n v="413.84999860645308"/>
    <n v="11.648"/>
    <n v="3.5501371533069186"/>
    <n v="2008"/>
    <n v="2022"/>
    <n v="14"/>
    <n v="40"/>
    <m/>
    <m/>
    <s v="0"/>
    <m/>
    <m/>
    <m/>
    <m/>
    <m/>
  </r>
  <r>
    <n v="109"/>
    <s v="CONTRACTOR SHED"/>
    <n v="1"/>
    <x v="18"/>
    <n v="2421"/>
    <n v="224.91847750350709"/>
    <n v="13.311999999999999"/>
    <n v="4.0572996037793354"/>
    <n v="1991"/>
    <n v="2022"/>
    <n v="31"/>
    <n v="40"/>
    <m/>
    <m/>
    <s v="0"/>
    <m/>
    <m/>
    <m/>
    <m/>
    <m/>
  </r>
  <r>
    <n v="110"/>
    <s v="BUS PARKING SHED"/>
    <n v="1"/>
    <x v="19"/>
    <n v="3228"/>
    <n v="299.89130333800949"/>
    <n v="16.64"/>
    <n v="5.071624504724169"/>
    <n v="1991"/>
    <n v="2022"/>
    <n v="31"/>
    <n v="40"/>
    <m/>
    <m/>
    <s v="0"/>
    <m/>
    <m/>
    <m/>
    <m/>
    <m/>
  </r>
  <r>
    <n v="111"/>
    <s v="BIKE / CYCLE PARKING SHED"/>
    <n v="1"/>
    <x v="20"/>
    <n v="4842"/>
    <n v="449.83695500701418"/>
    <n v="13.311999999999999"/>
    <n v="4.0572996037793354"/>
    <n v="2012"/>
    <n v="2022"/>
    <n v="10"/>
    <n v="40"/>
    <m/>
    <m/>
    <s v="0"/>
    <m/>
    <m/>
    <m/>
    <m/>
    <m/>
  </r>
  <r>
    <n v="112"/>
    <s v="E.T. PLANT (EFFLUENT TREATMENT PLANT)"/>
    <n v="0"/>
    <x v="21"/>
    <n v="3766"/>
    <n v="349.8731872276777"/>
    <n v="0"/>
    <n v="0"/>
    <n v="1991"/>
    <n v="2022"/>
    <n v="31"/>
    <n v="0"/>
    <m/>
    <m/>
    <s v="0"/>
    <m/>
    <m/>
    <m/>
    <m/>
    <m/>
  </r>
  <r>
    <n v="113"/>
    <s v="S.T. PLANT (SEWER TREATMENT PLANT)"/>
    <n v="0"/>
    <x v="22"/>
    <n v="2959"/>
    <n v="274.90036139317533"/>
    <n v="0"/>
    <n v="0"/>
    <n v="2014"/>
    <n v="2022"/>
    <n v="8"/>
    <n v="0"/>
    <m/>
    <m/>
    <s v="0"/>
    <m/>
    <m/>
    <m/>
    <m/>
    <m/>
  </r>
  <r>
    <n v="114"/>
    <s v="32 TPH Boiler (MEZZ. FLOOR)"/>
    <n v="1"/>
    <x v="0"/>
    <n v="1614"/>
    <n v="149.94565166900475"/>
    <n v="13.311999999999999"/>
    <n v="4.0572996037793354"/>
    <n v="2019"/>
    <n v="2022"/>
    <n v="3"/>
    <n v="60"/>
    <m/>
    <m/>
    <s v="0"/>
    <m/>
    <m/>
    <m/>
    <m/>
    <m/>
  </r>
  <r>
    <n v="115"/>
    <s v="32 TPH Boiler (RCC ROOF SLAB)"/>
    <n v="1"/>
    <x v="0"/>
    <n v="1614"/>
    <n v="149.94565166900475"/>
    <n v="21.631999999999998"/>
    <n v="6.5931118561414195"/>
    <n v="2019"/>
    <n v="2022"/>
    <n v="3"/>
    <n v="60"/>
    <m/>
    <m/>
    <s v="2000"/>
    <m/>
    <m/>
    <m/>
    <m/>
    <m/>
  </r>
  <r>
    <n v="116"/>
    <s v="BIO MASS SHED "/>
    <n v="1"/>
    <x v="23"/>
    <n v="19368"/>
    <n v="1799.3478200280567"/>
    <n v="28.288"/>
    <n v="8.6217616580310885"/>
    <n v="2022"/>
    <n v="2022"/>
    <n v="0"/>
    <n v="40"/>
    <m/>
    <m/>
    <s v="0"/>
    <m/>
    <m/>
    <m/>
    <m/>
    <m/>
  </r>
  <r>
    <n v="117"/>
    <s v="COAL STORAGE SHED "/>
    <n v="1"/>
    <x v="23"/>
    <n v="5874.96"/>
    <n v="545.80217207517728"/>
    <n v="28.288"/>
    <n v="8.6217616580310885"/>
    <n v="2008"/>
    <n v="2022"/>
    <n v="14"/>
    <n v="40"/>
    <m/>
    <m/>
    <s v="0"/>
    <m/>
    <m/>
    <m/>
    <m/>
    <m/>
  </r>
  <r>
    <n v="118"/>
    <s v="ELECTRICAL WORK SHOP"/>
    <n v="1"/>
    <x v="19"/>
    <n v="2485.56"/>
    <n v="230.91630357026727"/>
    <n v="29.951999999999998"/>
    <n v="9.1289241085035044"/>
    <n v="1991"/>
    <n v="2022"/>
    <n v="31"/>
    <n v="40"/>
    <m/>
    <m/>
    <s v="0"/>
    <m/>
    <m/>
    <m/>
    <m/>
    <m/>
  </r>
  <r>
    <n v="119"/>
    <s v="MOULD SHOP SHED"/>
    <n v="1"/>
    <x v="19"/>
    <n v="2485.56"/>
    <n v="230.91630357026727"/>
    <n v="29.951999999999998"/>
    <n v="9.1289241085035044"/>
    <n v="1991"/>
    <n v="2022"/>
    <n v="31"/>
    <n v="40"/>
    <m/>
    <m/>
    <s v="0"/>
    <m/>
    <m/>
    <m/>
    <m/>
    <m/>
  </r>
  <r>
    <n v="120"/>
    <s v="MECHANICAL WORK SHOP "/>
    <n v="1"/>
    <x v="17"/>
    <n v="2711.52"/>
    <n v="251.90869480392794"/>
    <n v="13.311999999999999"/>
    <n v="4.0572996037793354"/>
    <n v="2002"/>
    <n v="2022"/>
    <n v="20"/>
    <n v="40"/>
    <m/>
    <m/>
    <s v="0"/>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B3:B28" firstHeaderRow="1" firstDataRow="1" firstDataCol="1"/>
  <pivotFields count="20">
    <pivotField showAll="0"/>
    <pivotField showAll="0"/>
    <pivotField showAll="0"/>
    <pivotField axis="axisRow" showAll="0">
      <items count="25">
        <item x="19"/>
        <item x="12"/>
        <item x="10"/>
        <item x="23"/>
        <item x="20"/>
        <item x="7"/>
        <item x="13"/>
        <item x="15"/>
        <item x="1"/>
        <item x="16"/>
        <item x="18"/>
        <item x="17"/>
        <item x="8"/>
        <item x="22"/>
        <item x="11"/>
        <item x="21"/>
        <item x="14"/>
        <item x="9"/>
        <item x="5"/>
        <item x="4"/>
        <item x="0"/>
        <item x="6"/>
        <item x="2"/>
        <item x="3"/>
        <item t="default"/>
      </items>
    </pivotField>
    <pivotField showAll="0"/>
    <pivotField numFmtId="167" showAll="0"/>
    <pivotField numFmtId="1" showAll="0"/>
    <pivotField numFmtId="2" showAll="0"/>
    <pivotField numFmtId="1" showAll="0"/>
    <pivotField showAll="0"/>
    <pivotField numFmtId="1" showAll="0"/>
    <pivotField showAll="0"/>
    <pivotField showAll="0"/>
    <pivotField showAll="0"/>
    <pivotField showAll="0"/>
    <pivotField showAll="0"/>
    <pivotField showAll="0"/>
    <pivotField showAll="0"/>
    <pivotField showAll="0"/>
    <pivotField showAll="0"/>
  </pivotFields>
  <rowFields count="1">
    <field x="3"/>
  </rowFields>
  <rowItems count="25">
    <i>
      <x/>
    </i>
    <i>
      <x v="1"/>
    </i>
    <i>
      <x v="2"/>
    </i>
    <i>
      <x v="3"/>
    </i>
    <i>
      <x v="4"/>
    </i>
    <i>
      <x v="5"/>
    </i>
    <i>
      <x v="6"/>
    </i>
    <i>
      <x v="7"/>
    </i>
    <i>
      <x v="8"/>
    </i>
    <i>
      <x v="9"/>
    </i>
    <i>
      <x v="10"/>
    </i>
    <i>
      <x v="11"/>
    </i>
    <i>
      <x v="12"/>
    </i>
    <i>
      <x v="13"/>
    </i>
    <i>
      <x v="14"/>
    </i>
    <i>
      <x v="15"/>
    </i>
    <i>
      <x v="16"/>
    </i>
    <i>
      <x v="17"/>
    </i>
    <i>
      <x v="18"/>
    </i>
    <i>
      <x v="19"/>
    </i>
    <i>
      <x v="20"/>
    </i>
    <i>
      <x v="21"/>
    </i>
    <i>
      <x v="22"/>
    </i>
    <i>
      <x v="2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C1" workbookViewId="0">
      <selection activeCell="E31" sqref="E31"/>
    </sheetView>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topLeftCell="A115" workbookViewId="0">
      <selection activeCell="E121" sqref="E121"/>
    </sheetView>
  </sheetViews>
  <sheetFormatPr defaultRowHeight="15" x14ac:dyDescent="0.25"/>
  <cols>
    <col min="1" max="1" width="6.140625" style="74" customWidth="1"/>
    <col min="2" max="2" width="37.7109375" style="92" customWidth="1"/>
    <col min="3" max="4" width="12.5703125" style="93" customWidth="1"/>
    <col min="5" max="5" width="11.28515625" style="93" customWidth="1"/>
    <col min="6" max="7" width="12.28515625" style="93" customWidth="1"/>
    <col min="8" max="8" width="49" bestFit="1" customWidth="1"/>
    <col min="9" max="9" width="11.42578125" customWidth="1"/>
    <col min="10" max="10" width="11.5703125" style="73" customWidth="1"/>
    <col min="11" max="11" width="13.42578125" style="73" customWidth="1"/>
    <col min="12" max="12" width="67.7109375" bestFit="1" customWidth="1"/>
  </cols>
  <sheetData>
    <row r="1" spans="1:12" x14ac:dyDescent="0.25">
      <c r="A1" s="74">
        <v>1</v>
      </c>
      <c r="B1" s="74">
        <v>2</v>
      </c>
      <c r="C1" s="74">
        <v>3</v>
      </c>
      <c r="D1" s="74">
        <v>4</v>
      </c>
      <c r="E1" s="74">
        <v>5</v>
      </c>
      <c r="F1" s="74">
        <v>6</v>
      </c>
      <c r="G1" s="74">
        <v>7</v>
      </c>
      <c r="H1" s="74">
        <v>8</v>
      </c>
      <c r="I1" s="74">
        <v>9</v>
      </c>
      <c r="J1" s="74">
        <v>10</v>
      </c>
      <c r="K1" s="74">
        <v>11</v>
      </c>
    </row>
    <row r="2" spans="1:12" ht="15.75" x14ac:dyDescent="0.25">
      <c r="A2" s="100" t="s">
        <v>215</v>
      </c>
      <c r="B2" s="100"/>
      <c r="C2" s="100"/>
      <c r="D2" s="100"/>
      <c r="E2" s="100"/>
      <c r="F2" s="100"/>
      <c r="G2" s="100"/>
      <c r="H2" s="100"/>
      <c r="I2" s="100"/>
      <c r="J2" s="100"/>
      <c r="K2" s="100"/>
    </row>
    <row r="3" spans="1:12" ht="30" x14ac:dyDescent="0.25">
      <c r="A3" s="75" t="s">
        <v>207</v>
      </c>
      <c r="B3" s="76" t="s">
        <v>216</v>
      </c>
      <c r="C3" s="75" t="s">
        <v>217</v>
      </c>
      <c r="D3" s="75" t="s">
        <v>218</v>
      </c>
      <c r="E3" s="75" t="s">
        <v>219</v>
      </c>
      <c r="F3" s="75" t="s">
        <v>220</v>
      </c>
      <c r="G3" s="75" t="s">
        <v>221</v>
      </c>
      <c r="H3" s="75" t="s">
        <v>222</v>
      </c>
      <c r="I3" s="75" t="s">
        <v>223</v>
      </c>
      <c r="J3" s="75" t="s">
        <v>224</v>
      </c>
      <c r="K3" s="75" t="s">
        <v>225</v>
      </c>
    </row>
    <row r="4" spans="1:12" ht="15" customHeight="1" x14ac:dyDescent="0.25">
      <c r="A4" s="101" t="s">
        <v>226</v>
      </c>
      <c r="B4" s="101"/>
      <c r="C4" s="101"/>
      <c r="D4" s="101"/>
      <c r="E4" s="101"/>
      <c r="F4" s="101"/>
      <c r="G4" s="101"/>
      <c r="H4" s="101"/>
      <c r="I4" s="101"/>
      <c r="J4" s="101"/>
      <c r="K4" s="101"/>
    </row>
    <row r="5" spans="1:12" s="74" customFormat="1" ht="30" x14ac:dyDescent="0.25">
      <c r="A5" s="11">
        <v>1</v>
      </c>
      <c r="B5" s="77" t="s">
        <v>40</v>
      </c>
      <c r="C5" s="11">
        <v>1</v>
      </c>
      <c r="D5" s="8" t="s">
        <v>227</v>
      </c>
      <c r="E5" s="11">
        <v>20</v>
      </c>
      <c r="F5" s="78">
        <v>1991</v>
      </c>
      <c r="G5" s="10">
        <f>E5</f>
        <v>20</v>
      </c>
      <c r="H5" s="79" t="s">
        <v>228</v>
      </c>
      <c r="I5" s="11" t="s">
        <v>229</v>
      </c>
      <c r="J5" s="11">
        <f>6*110</f>
        <v>660</v>
      </c>
      <c r="K5" s="10">
        <f t="shared" ref="K5:K21" si="0">J5*10.76</f>
        <v>7101.5999999999995</v>
      </c>
      <c r="L5" s="74" t="str">
        <f>H5&amp;" with "&amp;D5</f>
        <v>RCC framed pillar beam column structure on RCC slab with RCC ROOF SLAB</v>
      </c>
    </row>
    <row r="6" spans="1:12" s="74" customFormat="1" ht="45" x14ac:dyDescent="0.25">
      <c r="A6" s="11">
        <v>2</v>
      </c>
      <c r="B6" s="77" t="s">
        <v>41</v>
      </c>
      <c r="C6" s="8">
        <v>1</v>
      </c>
      <c r="D6" s="8" t="s">
        <v>230</v>
      </c>
      <c r="E6" s="10">
        <f>9*3.328</f>
        <v>29.951999999999998</v>
      </c>
      <c r="F6" s="78">
        <v>1991</v>
      </c>
      <c r="G6" s="10">
        <f t="shared" ref="G6:G39" si="1">E6</f>
        <v>29.951999999999998</v>
      </c>
      <c r="H6" s="80" t="s">
        <v>231</v>
      </c>
      <c r="I6" s="11" t="s">
        <v>229</v>
      </c>
      <c r="J6" s="11">
        <f>7000-660</f>
        <v>6340</v>
      </c>
      <c r="K6" s="10">
        <f t="shared" si="0"/>
        <v>68218.399999999994</v>
      </c>
      <c r="L6" s="74" t="str">
        <f t="shared" ref="L6:L69" si="2">H6&amp;" with "&amp;D6</f>
        <v>Galvalume sheet roofed building mounted on steel trusses resting on RCC column with GALVALUME ROOFING SHED</v>
      </c>
    </row>
    <row r="7" spans="1:12" s="74" customFormat="1" ht="30" x14ac:dyDescent="0.25">
      <c r="A7" s="11">
        <v>3</v>
      </c>
      <c r="B7" s="81" t="s">
        <v>42</v>
      </c>
      <c r="C7" s="8">
        <v>1</v>
      </c>
      <c r="D7" s="8" t="s">
        <v>227</v>
      </c>
      <c r="E7" s="10">
        <v>20</v>
      </c>
      <c r="F7" s="78">
        <v>1991</v>
      </c>
      <c r="G7" s="10">
        <f t="shared" si="1"/>
        <v>20</v>
      </c>
      <c r="H7" s="79" t="s">
        <v>228</v>
      </c>
      <c r="I7" s="11" t="s">
        <v>229</v>
      </c>
      <c r="J7" s="11">
        <f>55*70</f>
        <v>3850</v>
      </c>
      <c r="K7" s="11">
        <f t="shared" si="0"/>
        <v>41426</v>
      </c>
      <c r="L7" s="74" t="str">
        <f t="shared" si="2"/>
        <v>RCC framed pillar beam column structure on RCC slab with RCC ROOF SLAB</v>
      </c>
    </row>
    <row r="8" spans="1:12" s="74" customFormat="1" ht="30" x14ac:dyDescent="0.25">
      <c r="A8" s="11">
        <v>4</v>
      </c>
      <c r="B8" s="82" t="s">
        <v>43</v>
      </c>
      <c r="C8" s="8">
        <v>1</v>
      </c>
      <c r="D8" s="8" t="s">
        <v>227</v>
      </c>
      <c r="E8" s="10">
        <v>20</v>
      </c>
      <c r="F8" s="78">
        <v>1991</v>
      </c>
      <c r="G8" s="10">
        <f t="shared" si="1"/>
        <v>20</v>
      </c>
      <c r="H8" s="79" t="s">
        <v>228</v>
      </c>
      <c r="I8" s="11" t="s">
        <v>229</v>
      </c>
      <c r="J8" s="11">
        <f>55*49</f>
        <v>2695</v>
      </c>
      <c r="K8" s="10">
        <f t="shared" si="0"/>
        <v>28998.2</v>
      </c>
      <c r="L8" s="74" t="str">
        <f t="shared" si="2"/>
        <v>RCC framed pillar beam column structure on RCC slab with RCC ROOF SLAB</v>
      </c>
    </row>
    <row r="9" spans="1:12" s="74" customFormat="1" ht="45" x14ac:dyDescent="0.25">
      <c r="A9" s="11">
        <v>5</v>
      </c>
      <c r="B9" s="82" t="s">
        <v>43</v>
      </c>
      <c r="C9" s="8">
        <v>1</v>
      </c>
      <c r="D9" s="8" t="s">
        <v>230</v>
      </c>
      <c r="E9" s="10">
        <f>9*3.328</f>
        <v>29.951999999999998</v>
      </c>
      <c r="F9" s="78">
        <v>1991</v>
      </c>
      <c r="G9" s="10">
        <f t="shared" si="1"/>
        <v>29.951999999999998</v>
      </c>
      <c r="H9" s="80" t="s">
        <v>231</v>
      </c>
      <c r="I9" s="11" t="s">
        <v>229</v>
      </c>
      <c r="J9" s="11">
        <f>55*21</f>
        <v>1155</v>
      </c>
      <c r="K9" s="11">
        <f t="shared" si="0"/>
        <v>12427.8</v>
      </c>
      <c r="L9" s="74" t="str">
        <f t="shared" si="2"/>
        <v>Galvalume sheet roofed building mounted on steel trusses resting on RCC column with GALVALUME ROOFING SHED</v>
      </c>
    </row>
    <row r="10" spans="1:12" s="74" customFormat="1" ht="45" x14ac:dyDescent="0.25">
      <c r="A10" s="11">
        <v>6</v>
      </c>
      <c r="B10" s="82" t="s">
        <v>44</v>
      </c>
      <c r="C10" s="8">
        <v>1</v>
      </c>
      <c r="D10" s="8" t="s">
        <v>230</v>
      </c>
      <c r="E10" s="10">
        <f>8*3.328</f>
        <v>26.623999999999999</v>
      </c>
      <c r="F10" s="78">
        <v>1991</v>
      </c>
      <c r="G10" s="10">
        <f t="shared" si="1"/>
        <v>26.623999999999999</v>
      </c>
      <c r="H10" s="80" t="s">
        <v>231</v>
      </c>
      <c r="I10" s="11" t="s">
        <v>229</v>
      </c>
      <c r="J10" s="11">
        <f>55*56</f>
        <v>3080</v>
      </c>
      <c r="K10" s="10">
        <f t="shared" si="0"/>
        <v>33140.800000000003</v>
      </c>
      <c r="L10" s="74" t="str">
        <f t="shared" si="2"/>
        <v>Galvalume sheet roofed building mounted on steel trusses resting on RCC column with GALVALUME ROOFING SHED</v>
      </c>
    </row>
    <row r="11" spans="1:12" s="74" customFormat="1" ht="45" x14ac:dyDescent="0.25">
      <c r="A11" s="11">
        <v>7</v>
      </c>
      <c r="B11" s="82" t="s">
        <v>45</v>
      </c>
      <c r="C11" s="8">
        <v>1</v>
      </c>
      <c r="D11" s="8" t="s">
        <v>230</v>
      </c>
      <c r="E11" s="10">
        <f>5*3.328</f>
        <v>16.64</v>
      </c>
      <c r="F11" s="78">
        <v>1991</v>
      </c>
      <c r="G11" s="10">
        <f t="shared" si="1"/>
        <v>16.64</v>
      </c>
      <c r="H11" s="80" t="s">
        <v>231</v>
      </c>
      <c r="I11" s="11" t="s">
        <v>229</v>
      </c>
      <c r="J11" s="11">
        <f>55*14</f>
        <v>770</v>
      </c>
      <c r="K11" s="10">
        <f t="shared" si="0"/>
        <v>8285.2000000000007</v>
      </c>
      <c r="L11" s="74" t="str">
        <f t="shared" si="2"/>
        <v>Galvalume sheet roofed building mounted on steel trusses resting on RCC column with GALVALUME ROOFING SHED</v>
      </c>
    </row>
    <row r="12" spans="1:12" s="74" customFormat="1" ht="30" x14ac:dyDescent="0.25">
      <c r="A12" s="11">
        <v>8</v>
      </c>
      <c r="B12" s="81" t="s">
        <v>46</v>
      </c>
      <c r="C12" s="8">
        <v>1</v>
      </c>
      <c r="D12" s="8" t="s">
        <v>227</v>
      </c>
      <c r="E12" s="10">
        <v>20</v>
      </c>
      <c r="F12" s="78">
        <v>2004</v>
      </c>
      <c r="G12" s="10">
        <f t="shared" si="1"/>
        <v>20</v>
      </c>
      <c r="H12" s="79" t="s">
        <v>228</v>
      </c>
      <c r="I12" s="11" t="s">
        <v>229</v>
      </c>
      <c r="J12" s="10">
        <f>27.55*35</f>
        <v>964.25</v>
      </c>
      <c r="K12" s="10">
        <f t="shared" si="0"/>
        <v>10375.33</v>
      </c>
      <c r="L12" s="74" t="str">
        <f t="shared" si="2"/>
        <v>RCC framed pillar beam column structure on RCC slab with RCC ROOF SLAB</v>
      </c>
    </row>
    <row r="13" spans="1:12" s="74" customFormat="1" ht="30" x14ac:dyDescent="0.25">
      <c r="A13" s="11">
        <v>9</v>
      </c>
      <c r="B13" s="82" t="s">
        <v>47</v>
      </c>
      <c r="C13" s="8">
        <v>1</v>
      </c>
      <c r="D13" s="8" t="s">
        <v>227</v>
      </c>
      <c r="E13" s="10">
        <v>20</v>
      </c>
      <c r="F13" s="78">
        <v>2004</v>
      </c>
      <c r="G13" s="10">
        <f t="shared" si="1"/>
        <v>20</v>
      </c>
      <c r="H13" s="79" t="s">
        <v>228</v>
      </c>
      <c r="I13" s="11" t="s">
        <v>229</v>
      </c>
      <c r="J13" s="10">
        <f>27.55*49</f>
        <v>1349.95</v>
      </c>
      <c r="K13" s="10">
        <f t="shared" si="0"/>
        <v>14525.462</v>
      </c>
      <c r="L13" s="74" t="str">
        <f t="shared" si="2"/>
        <v>RCC framed pillar beam column structure on RCC slab with RCC ROOF SLAB</v>
      </c>
    </row>
    <row r="14" spans="1:12" s="74" customFormat="1" ht="45" x14ac:dyDescent="0.25">
      <c r="A14" s="11">
        <v>10</v>
      </c>
      <c r="B14" s="82" t="s">
        <v>47</v>
      </c>
      <c r="C14" s="8">
        <v>1</v>
      </c>
      <c r="D14" s="8" t="s">
        <v>230</v>
      </c>
      <c r="E14" s="10">
        <f>9*3.328</f>
        <v>29.951999999999998</v>
      </c>
      <c r="F14" s="78">
        <v>2004</v>
      </c>
      <c r="G14" s="10">
        <f t="shared" si="1"/>
        <v>29.951999999999998</v>
      </c>
      <c r="H14" s="80" t="s">
        <v>231</v>
      </c>
      <c r="I14" s="11" t="s">
        <v>229</v>
      </c>
      <c r="J14" s="10">
        <f>27.5*21</f>
        <v>577.5</v>
      </c>
      <c r="K14" s="10">
        <f t="shared" si="0"/>
        <v>6213.9</v>
      </c>
      <c r="L14" s="74" t="str">
        <f t="shared" si="2"/>
        <v>Galvalume sheet roofed building mounted on steel trusses resting on RCC column with GALVALUME ROOFING SHED</v>
      </c>
    </row>
    <row r="15" spans="1:12" s="74" customFormat="1" ht="45" x14ac:dyDescent="0.25">
      <c r="A15" s="11">
        <v>11</v>
      </c>
      <c r="B15" s="82" t="s">
        <v>48</v>
      </c>
      <c r="C15" s="8">
        <v>1</v>
      </c>
      <c r="D15" s="8" t="s">
        <v>230</v>
      </c>
      <c r="E15" s="10">
        <f>9*3.328</f>
        <v>29.951999999999998</v>
      </c>
      <c r="F15" s="78">
        <v>2004</v>
      </c>
      <c r="G15" s="10">
        <f t="shared" si="1"/>
        <v>29.951999999999998</v>
      </c>
      <c r="H15" s="80" t="s">
        <v>231</v>
      </c>
      <c r="I15" s="11" t="s">
        <v>229</v>
      </c>
      <c r="J15" s="10">
        <f>27.5*70</f>
        <v>1925</v>
      </c>
      <c r="K15" s="10">
        <f t="shared" si="0"/>
        <v>20713</v>
      </c>
      <c r="L15" s="74" t="str">
        <f t="shared" si="2"/>
        <v>Galvalume sheet roofed building mounted on steel trusses resting on RCC column with GALVALUME ROOFING SHED</v>
      </c>
    </row>
    <row r="16" spans="1:12" s="74" customFormat="1" ht="45" x14ac:dyDescent="0.25">
      <c r="A16" s="11">
        <v>12</v>
      </c>
      <c r="B16" s="82" t="s">
        <v>49</v>
      </c>
      <c r="C16" s="8">
        <v>1</v>
      </c>
      <c r="D16" s="8" t="s">
        <v>230</v>
      </c>
      <c r="E16" s="10">
        <f>5*3.328</f>
        <v>16.64</v>
      </c>
      <c r="F16" s="78">
        <v>2004</v>
      </c>
      <c r="G16" s="10">
        <f t="shared" si="1"/>
        <v>16.64</v>
      </c>
      <c r="H16" s="80" t="s">
        <v>231</v>
      </c>
      <c r="I16" s="11" t="s">
        <v>229</v>
      </c>
      <c r="J16" s="10">
        <f>27.5*14</f>
        <v>385</v>
      </c>
      <c r="K16" s="10">
        <f t="shared" si="0"/>
        <v>4142.6000000000004</v>
      </c>
      <c r="L16" s="74" t="str">
        <f t="shared" si="2"/>
        <v>Galvalume sheet roofed building mounted on steel trusses resting on RCC column with GALVALUME ROOFING SHED</v>
      </c>
    </row>
    <row r="17" spans="1:12" s="74" customFormat="1" ht="45" x14ac:dyDescent="0.25">
      <c r="A17" s="11">
        <v>13</v>
      </c>
      <c r="B17" s="82" t="s">
        <v>50</v>
      </c>
      <c r="C17" s="8">
        <v>1</v>
      </c>
      <c r="D17" s="8" t="s">
        <v>230</v>
      </c>
      <c r="E17" s="10">
        <f>24*3.328</f>
        <v>79.872</v>
      </c>
      <c r="F17" s="78">
        <v>1991</v>
      </c>
      <c r="G17" s="10">
        <f t="shared" si="1"/>
        <v>79.872</v>
      </c>
      <c r="H17" s="80" t="s">
        <v>231</v>
      </c>
      <c r="I17" s="11" t="s">
        <v>229</v>
      </c>
      <c r="J17" s="11">
        <f>27.5*70</f>
        <v>1925</v>
      </c>
      <c r="K17" s="11">
        <f t="shared" si="0"/>
        <v>20713</v>
      </c>
      <c r="L17" s="74" t="str">
        <f t="shared" si="2"/>
        <v>Galvalume sheet roofed building mounted on steel trusses resting on RCC column with GALVALUME ROOFING SHED</v>
      </c>
    </row>
    <row r="18" spans="1:12" s="74" customFormat="1" ht="45" x14ac:dyDescent="0.25">
      <c r="A18" s="11">
        <v>14</v>
      </c>
      <c r="B18" s="77" t="s">
        <v>51</v>
      </c>
      <c r="C18" s="8">
        <v>1</v>
      </c>
      <c r="D18" s="8" t="s">
        <v>230</v>
      </c>
      <c r="E18" s="11">
        <v>66</v>
      </c>
      <c r="F18" s="78">
        <v>1991</v>
      </c>
      <c r="G18" s="10">
        <f t="shared" si="1"/>
        <v>66</v>
      </c>
      <c r="H18" s="80" t="s">
        <v>231</v>
      </c>
      <c r="I18" s="11" t="s">
        <v>229</v>
      </c>
      <c r="J18" s="11">
        <f>7*56</f>
        <v>392</v>
      </c>
      <c r="K18" s="10">
        <f t="shared" si="0"/>
        <v>4217.92</v>
      </c>
      <c r="L18" s="74" t="str">
        <f t="shared" si="2"/>
        <v>Galvalume sheet roofed building mounted on steel trusses resting on RCC column with GALVALUME ROOFING SHED</v>
      </c>
    </row>
    <row r="19" spans="1:12" s="74" customFormat="1" ht="45" x14ac:dyDescent="0.25">
      <c r="A19" s="11">
        <v>15</v>
      </c>
      <c r="B19" s="80" t="s">
        <v>52</v>
      </c>
      <c r="C19" s="8">
        <v>1</v>
      </c>
      <c r="D19" s="8" t="s">
        <v>232</v>
      </c>
      <c r="E19" s="10">
        <f>11.5*3.328</f>
        <v>38.271999999999998</v>
      </c>
      <c r="F19" s="78">
        <v>1991</v>
      </c>
      <c r="G19" s="10">
        <f t="shared" si="1"/>
        <v>38.271999999999998</v>
      </c>
      <c r="H19" s="83" t="s">
        <v>233</v>
      </c>
      <c r="I19" s="11" t="s">
        <v>229</v>
      </c>
      <c r="J19" s="11">
        <f>50*98</f>
        <v>4900</v>
      </c>
      <c r="K19" s="10">
        <f t="shared" si="0"/>
        <v>52724</v>
      </c>
      <c r="L19" s="74" t="str">
        <f t="shared" si="2"/>
        <v>RCC framed pillar beam column structure on RCC slab, Cast in SITU with RCC ROOF SLAB CAST IN SITU</v>
      </c>
    </row>
    <row r="20" spans="1:12" s="74" customFormat="1" ht="30" x14ac:dyDescent="0.25">
      <c r="A20" s="11">
        <v>16</v>
      </c>
      <c r="B20" s="79" t="s">
        <v>53</v>
      </c>
      <c r="C20" s="8">
        <v>1</v>
      </c>
      <c r="D20" s="8" t="s">
        <v>234</v>
      </c>
      <c r="E20" s="10">
        <f>9*3.328</f>
        <v>29.951999999999998</v>
      </c>
      <c r="F20" s="78">
        <v>1998</v>
      </c>
      <c r="G20" s="10">
        <f t="shared" si="1"/>
        <v>29.951999999999998</v>
      </c>
      <c r="H20" s="83" t="s">
        <v>235</v>
      </c>
      <c r="I20" s="11" t="s">
        <v>229</v>
      </c>
      <c r="J20" s="10">
        <f>27.5*98</f>
        <v>2695</v>
      </c>
      <c r="K20" s="10">
        <f t="shared" si="0"/>
        <v>28998.2</v>
      </c>
      <c r="L20" s="74" t="str">
        <f t="shared" si="2"/>
        <v>RCC framed pillar beam column structure on RCC slab, Precast Coffer Slab with RCC COFFERS ROOF SLAB</v>
      </c>
    </row>
    <row r="21" spans="1:12" s="74" customFormat="1" ht="30" x14ac:dyDescent="0.25">
      <c r="A21" s="11">
        <v>17</v>
      </c>
      <c r="B21" s="79" t="s">
        <v>54</v>
      </c>
      <c r="C21" s="8">
        <v>1</v>
      </c>
      <c r="D21" s="8" t="s">
        <v>236</v>
      </c>
      <c r="E21" s="10">
        <f>9*3.328</f>
        <v>29.951999999999998</v>
      </c>
      <c r="F21" s="78">
        <v>2004</v>
      </c>
      <c r="G21" s="10">
        <f t="shared" si="1"/>
        <v>29.951999999999998</v>
      </c>
      <c r="H21" s="79" t="s">
        <v>228</v>
      </c>
      <c r="I21" s="11" t="s">
        <v>229</v>
      </c>
      <c r="J21" s="10">
        <f>27.5*98</f>
        <v>2695</v>
      </c>
      <c r="K21" s="10">
        <f t="shared" si="0"/>
        <v>28998.2</v>
      </c>
      <c r="L21" s="74" t="str">
        <f t="shared" si="2"/>
        <v>RCC framed pillar beam column structure on RCC slab with RCC DECK SLAB ROOF</v>
      </c>
    </row>
    <row r="22" spans="1:12" s="74" customFormat="1" ht="45" x14ac:dyDescent="0.25">
      <c r="A22" s="11">
        <v>18</v>
      </c>
      <c r="B22" s="79" t="s">
        <v>237</v>
      </c>
      <c r="C22" s="8">
        <v>1</v>
      </c>
      <c r="D22" s="8" t="s">
        <v>232</v>
      </c>
      <c r="E22" s="10">
        <f>11.5*3.328</f>
        <v>38.271999999999998</v>
      </c>
      <c r="F22" s="78">
        <v>1991</v>
      </c>
      <c r="G22" s="10">
        <f t="shared" si="1"/>
        <v>38.271999999999998</v>
      </c>
      <c r="H22" s="83" t="s">
        <v>233</v>
      </c>
      <c r="I22" s="11"/>
      <c r="J22" s="10"/>
      <c r="K22" s="10"/>
      <c r="L22" s="74" t="str">
        <f t="shared" si="2"/>
        <v>RCC framed pillar beam column structure on RCC slab, Cast in SITU with RCC ROOF SLAB CAST IN SITU</v>
      </c>
    </row>
    <row r="23" spans="1:12" s="74" customFormat="1" ht="30" x14ac:dyDescent="0.25">
      <c r="A23" s="11">
        <v>19</v>
      </c>
      <c r="B23" s="79" t="s">
        <v>55</v>
      </c>
      <c r="C23" s="8">
        <v>1</v>
      </c>
      <c r="D23" s="8" t="s">
        <v>227</v>
      </c>
      <c r="E23" s="10">
        <f>5.5*3.328</f>
        <v>18.303999999999998</v>
      </c>
      <c r="F23" s="8">
        <v>1998</v>
      </c>
      <c r="G23" s="10">
        <f t="shared" si="1"/>
        <v>18.303999999999998</v>
      </c>
      <c r="H23" s="79" t="s">
        <v>228</v>
      </c>
      <c r="I23" s="11" t="s">
        <v>229</v>
      </c>
      <c r="J23" s="10">
        <f>27.5*112</f>
        <v>3080</v>
      </c>
      <c r="K23" s="10">
        <f t="shared" ref="K23:K86" si="3">J23*10.76</f>
        <v>33140.800000000003</v>
      </c>
      <c r="L23" s="74" t="str">
        <f t="shared" si="2"/>
        <v>RCC framed pillar beam column structure on RCC slab with RCC ROOF SLAB</v>
      </c>
    </row>
    <row r="24" spans="1:12" s="74" customFormat="1" ht="30" x14ac:dyDescent="0.25">
      <c r="A24" s="11">
        <v>20</v>
      </c>
      <c r="B24" s="79" t="s">
        <v>56</v>
      </c>
      <c r="C24" s="8">
        <v>1</v>
      </c>
      <c r="D24" s="8" t="s">
        <v>227</v>
      </c>
      <c r="E24" s="10">
        <f>5.5*3.328</f>
        <v>18.303999999999998</v>
      </c>
      <c r="F24" s="84">
        <v>2004</v>
      </c>
      <c r="G24" s="10">
        <f t="shared" si="1"/>
        <v>18.303999999999998</v>
      </c>
      <c r="H24" s="79" t="s">
        <v>228</v>
      </c>
      <c r="I24" s="11" t="s">
        <v>229</v>
      </c>
      <c r="J24" s="10">
        <f>27.5*112</f>
        <v>3080</v>
      </c>
      <c r="K24" s="10">
        <f t="shared" si="3"/>
        <v>33140.800000000003</v>
      </c>
      <c r="L24" s="74" t="str">
        <f t="shared" si="2"/>
        <v>RCC framed pillar beam column structure on RCC slab with RCC ROOF SLAB</v>
      </c>
    </row>
    <row r="25" spans="1:12" s="74" customFormat="1" ht="45" x14ac:dyDescent="0.25">
      <c r="A25" s="11">
        <v>21</v>
      </c>
      <c r="B25" s="79" t="s">
        <v>57</v>
      </c>
      <c r="C25" s="8">
        <v>1</v>
      </c>
      <c r="D25" s="8" t="s">
        <v>230</v>
      </c>
      <c r="E25" s="10">
        <f>5*3.328</f>
        <v>16.64</v>
      </c>
      <c r="F25" s="84">
        <v>2006</v>
      </c>
      <c r="G25" s="10">
        <f t="shared" si="1"/>
        <v>16.64</v>
      </c>
      <c r="H25" s="80" t="s">
        <v>231</v>
      </c>
      <c r="I25" s="11" t="s">
        <v>229</v>
      </c>
      <c r="J25" s="10">
        <f>27.5*112</f>
        <v>3080</v>
      </c>
      <c r="K25" s="10">
        <f t="shared" si="3"/>
        <v>33140.800000000003</v>
      </c>
      <c r="L25" s="74" t="str">
        <f t="shared" si="2"/>
        <v>Galvalume sheet roofed building mounted on steel trusses resting on RCC column with GALVALUME ROOFING SHED</v>
      </c>
    </row>
    <row r="26" spans="1:12" s="74" customFormat="1" ht="30" x14ac:dyDescent="0.25">
      <c r="A26" s="11">
        <v>22</v>
      </c>
      <c r="B26" s="79" t="s">
        <v>58</v>
      </c>
      <c r="C26" s="8">
        <v>1</v>
      </c>
      <c r="D26" s="8" t="s">
        <v>234</v>
      </c>
      <c r="E26" s="10">
        <f>7*3.328</f>
        <v>23.295999999999999</v>
      </c>
      <c r="F26" s="78">
        <v>1991</v>
      </c>
      <c r="G26" s="10">
        <f t="shared" si="1"/>
        <v>23.295999999999999</v>
      </c>
      <c r="H26" s="79" t="s">
        <v>228</v>
      </c>
      <c r="I26" s="11" t="s">
        <v>229</v>
      </c>
      <c r="J26" s="10">
        <f>(27.5*28*3)+(28*50)</f>
        <v>3710</v>
      </c>
      <c r="K26" s="10">
        <f t="shared" si="3"/>
        <v>39919.599999999999</v>
      </c>
      <c r="L26" s="74" t="str">
        <f t="shared" si="2"/>
        <v>RCC framed pillar beam column structure on RCC slab with RCC COFFERS ROOF SLAB</v>
      </c>
    </row>
    <row r="27" spans="1:12" s="74" customFormat="1" ht="45" x14ac:dyDescent="0.25">
      <c r="A27" s="11">
        <v>23</v>
      </c>
      <c r="B27" s="79" t="s">
        <v>59</v>
      </c>
      <c r="C27" s="8">
        <v>1</v>
      </c>
      <c r="D27" s="8" t="s">
        <v>232</v>
      </c>
      <c r="E27" s="10">
        <f>7*3.328</f>
        <v>23.295999999999999</v>
      </c>
      <c r="F27" s="78">
        <v>1991</v>
      </c>
      <c r="G27" s="10">
        <f t="shared" si="1"/>
        <v>23.295999999999999</v>
      </c>
      <c r="H27" s="83" t="s">
        <v>228</v>
      </c>
      <c r="I27" s="11" t="s">
        <v>229</v>
      </c>
      <c r="J27" s="11">
        <f>27.5*2*98</f>
        <v>5390</v>
      </c>
      <c r="K27" s="10">
        <f t="shared" si="3"/>
        <v>57996.4</v>
      </c>
      <c r="L27" s="74" t="str">
        <f t="shared" si="2"/>
        <v>RCC framed pillar beam column structure on RCC slab with RCC ROOF SLAB CAST IN SITU</v>
      </c>
    </row>
    <row r="28" spans="1:12" s="74" customFormat="1" ht="30" x14ac:dyDescent="0.25">
      <c r="A28" s="11">
        <v>24</v>
      </c>
      <c r="B28" s="83" t="s">
        <v>60</v>
      </c>
      <c r="C28" s="8">
        <v>1</v>
      </c>
      <c r="D28" s="8" t="s">
        <v>234</v>
      </c>
      <c r="E28" s="10">
        <f t="shared" ref="E28:E31" si="4">7*3.328</f>
        <v>23.295999999999999</v>
      </c>
      <c r="F28" s="78">
        <v>1991</v>
      </c>
      <c r="G28" s="10">
        <f t="shared" si="1"/>
        <v>23.295999999999999</v>
      </c>
      <c r="H28" s="83" t="s">
        <v>235</v>
      </c>
      <c r="I28" s="11" t="s">
        <v>229</v>
      </c>
      <c r="J28" s="11">
        <f>27.5*98</f>
        <v>2695</v>
      </c>
      <c r="K28" s="10">
        <f t="shared" si="3"/>
        <v>28998.2</v>
      </c>
      <c r="L28" s="74" t="str">
        <f t="shared" si="2"/>
        <v>RCC framed pillar beam column structure on RCC slab, Precast Coffer Slab with RCC COFFERS ROOF SLAB</v>
      </c>
    </row>
    <row r="29" spans="1:12" s="74" customFormat="1" ht="30" x14ac:dyDescent="0.25">
      <c r="A29" s="11">
        <v>25</v>
      </c>
      <c r="B29" s="83" t="s">
        <v>61</v>
      </c>
      <c r="C29" s="8">
        <v>1</v>
      </c>
      <c r="D29" s="8" t="s">
        <v>234</v>
      </c>
      <c r="E29" s="10">
        <f t="shared" si="4"/>
        <v>23.295999999999999</v>
      </c>
      <c r="F29" s="78">
        <v>2004</v>
      </c>
      <c r="G29" s="10">
        <f t="shared" si="1"/>
        <v>23.295999999999999</v>
      </c>
      <c r="H29" s="83" t="s">
        <v>235</v>
      </c>
      <c r="I29" s="11" t="s">
        <v>229</v>
      </c>
      <c r="J29" s="11">
        <f>27.5*98</f>
        <v>2695</v>
      </c>
      <c r="K29" s="10">
        <f t="shared" si="3"/>
        <v>28998.2</v>
      </c>
      <c r="L29" s="74" t="str">
        <f t="shared" si="2"/>
        <v>RCC framed pillar beam column structure on RCC slab, Precast Coffer Slab with RCC COFFERS ROOF SLAB</v>
      </c>
    </row>
    <row r="30" spans="1:12" s="74" customFormat="1" ht="45" x14ac:dyDescent="0.25">
      <c r="A30" s="11">
        <v>26</v>
      </c>
      <c r="B30" s="79" t="s">
        <v>62</v>
      </c>
      <c r="C30" s="8">
        <v>1</v>
      </c>
      <c r="D30" s="8" t="s">
        <v>230</v>
      </c>
      <c r="E30" s="10">
        <f t="shared" si="4"/>
        <v>23.295999999999999</v>
      </c>
      <c r="F30" s="78">
        <v>2006</v>
      </c>
      <c r="G30" s="10">
        <f t="shared" si="1"/>
        <v>23.295999999999999</v>
      </c>
      <c r="H30" s="80" t="s">
        <v>231</v>
      </c>
      <c r="I30" s="11" t="s">
        <v>229</v>
      </c>
      <c r="J30" s="11">
        <f>27.5*98</f>
        <v>2695</v>
      </c>
      <c r="K30" s="10">
        <f t="shared" si="3"/>
        <v>28998.2</v>
      </c>
      <c r="L30" s="74" t="str">
        <f t="shared" si="2"/>
        <v>Galvalume sheet roofed building mounted on steel trusses resting on RCC column with GALVALUME ROOFING SHED</v>
      </c>
    </row>
    <row r="31" spans="1:12" s="74" customFormat="1" ht="45" x14ac:dyDescent="0.25">
      <c r="A31" s="11">
        <v>27</v>
      </c>
      <c r="B31" s="79" t="s">
        <v>63</v>
      </c>
      <c r="C31" s="8">
        <v>1</v>
      </c>
      <c r="D31" s="8" t="s">
        <v>230</v>
      </c>
      <c r="E31" s="10">
        <f t="shared" si="4"/>
        <v>23.295999999999999</v>
      </c>
      <c r="F31" s="78">
        <v>2006</v>
      </c>
      <c r="G31" s="10">
        <f t="shared" si="1"/>
        <v>23.295999999999999</v>
      </c>
      <c r="H31" s="80" t="s">
        <v>238</v>
      </c>
      <c r="I31" s="11" t="s">
        <v>229</v>
      </c>
      <c r="J31" s="10">
        <f>27.5*3*63</f>
        <v>5197.5</v>
      </c>
      <c r="K31" s="10">
        <f t="shared" si="3"/>
        <v>55925.1</v>
      </c>
      <c r="L31" s="74" t="str">
        <f t="shared" si="2"/>
        <v>Galvalume sheet roofed building mounted on steel trusses resting on RCC column &amp; Brick Wall with GALVALUME ROOFING SHED</v>
      </c>
    </row>
    <row r="32" spans="1:12" s="74" customFormat="1" ht="30" x14ac:dyDescent="0.25">
      <c r="A32" s="11">
        <v>28</v>
      </c>
      <c r="B32" s="77" t="s">
        <v>64</v>
      </c>
      <c r="C32" s="8">
        <v>1</v>
      </c>
      <c r="D32" s="8" t="s">
        <v>236</v>
      </c>
      <c r="E32" s="10">
        <f>2.8*3.328</f>
        <v>9.3183999999999987</v>
      </c>
      <c r="F32" s="84">
        <v>1991</v>
      </c>
      <c r="G32" s="10">
        <f t="shared" si="1"/>
        <v>9.3183999999999987</v>
      </c>
      <c r="H32" s="79" t="s">
        <v>228</v>
      </c>
      <c r="I32" s="11" t="s">
        <v>229</v>
      </c>
      <c r="J32" s="10">
        <f>27.5*2*21</f>
        <v>1155</v>
      </c>
      <c r="K32" s="10">
        <f t="shared" si="3"/>
        <v>12427.8</v>
      </c>
      <c r="L32" s="74" t="str">
        <f t="shared" si="2"/>
        <v>RCC framed pillar beam column structure on RCC slab with RCC DECK SLAB ROOF</v>
      </c>
    </row>
    <row r="33" spans="1:12" s="74" customFormat="1" ht="45" x14ac:dyDescent="0.25">
      <c r="A33" s="11">
        <v>29</v>
      </c>
      <c r="B33" s="77" t="s">
        <v>65</v>
      </c>
      <c r="C33" s="8">
        <v>1</v>
      </c>
      <c r="D33" s="8" t="s">
        <v>230</v>
      </c>
      <c r="E33" s="10">
        <f>9*3.328</f>
        <v>29.951999999999998</v>
      </c>
      <c r="F33" s="84">
        <v>1991</v>
      </c>
      <c r="G33" s="10">
        <f t="shared" si="1"/>
        <v>29.951999999999998</v>
      </c>
      <c r="H33" s="83" t="s">
        <v>239</v>
      </c>
      <c r="I33" s="11" t="s">
        <v>229</v>
      </c>
      <c r="J33" s="10">
        <f>27.5*2*35</f>
        <v>1925</v>
      </c>
      <c r="K33" s="10">
        <f t="shared" si="3"/>
        <v>20713</v>
      </c>
      <c r="L33" s="74" t="str">
        <f t="shared" si="2"/>
        <v>Metallic framed pillar beam column structure on RCC slab with GALVALUME ROOFING SHED</v>
      </c>
    </row>
    <row r="34" spans="1:12" s="74" customFormat="1" ht="30" x14ac:dyDescent="0.25">
      <c r="A34" s="11">
        <v>30</v>
      </c>
      <c r="B34" s="77" t="s">
        <v>66</v>
      </c>
      <c r="C34" s="8">
        <v>1</v>
      </c>
      <c r="D34" s="8" t="s">
        <v>236</v>
      </c>
      <c r="E34" s="10">
        <f>2.8*3.328</f>
        <v>9.3183999999999987</v>
      </c>
      <c r="F34" s="84">
        <v>2004</v>
      </c>
      <c r="G34" s="10">
        <f t="shared" si="1"/>
        <v>9.3183999999999987</v>
      </c>
      <c r="H34" s="79" t="s">
        <v>228</v>
      </c>
      <c r="I34" s="11" t="s">
        <v>229</v>
      </c>
      <c r="J34" s="10">
        <f>27.5*21</f>
        <v>577.5</v>
      </c>
      <c r="K34" s="10">
        <f t="shared" si="3"/>
        <v>6213.9</v>
      </c>
      <c r="L34" s="74" t="str">
        <f t="shared" si="2"/>
        <v>RCC framed pillar beam column structure on RCC slab with RCC DECK SLAB ROOF</v>
      </c>
    </row>
    <row r="35" spans="1:12" s="74" customFormat="1" ht="45" x14ac:dyDescent="0.25">
      <c r="A35" s="11">
        <v>31</v>
      </c>
      <c r="B35" s="77" t="s">
        <v>67</v>
      </c>
      <c r="C35" s="8">
        <v>1</v>
      </c>
      <c r="D35" s="8" t="s">
        <v>230</v>
      </c>
      <c r="E35" s="10">
        <f>9*3.328</f>
        <v>29.951999999999998</v>
      </c>
      <c r="F35" s="84">
        <v>2004</v>
      </c>
      <c r="G35" s="10">
        <f t="shared" si="1"/>
        <v>29.951999999999998</v>
      </c>
      <c r="H35" s="83" t="s">
        <v>239</v>
      </c>
      <c r="I35" s="11" t="s">
        <v>229</v>
      </c>
      <c r="J35" s="10">
        <f>27.5*35</f>
        <v>962.5</v>
      </c>
      <c r="K35" s="10">
        <f t="shared" si="3"/>
        <v>10356.5</v>
      </c>
      <c r="L35" s="74" t="str">
        <f t="shared" si="2"/>
        <v>Metallic framed pillar beam column structure on RCC slab with GALVALUME ROOFING SHED</v>
      </c>
    </row>
    <row r="36" spans="1:12" s="74" customFormat="1" ht="30" x14ac:dyDescent="0.25">
      <c r="A36" s="11">
        <v>32</v>
      </c>
      <c r="B36" s="77" t="s">
        <v>68</v>
      </c>
      <c r="C36" s="8">
        <v>1</v>
      </c>
      <c r="D36" s="8" t="s">
        <v>227</v>
      </c>
      <c r="E36" s="10">
        <f>3*3.328</f>
        <v>9.984</v>
      </c>
      <c r="F36" s="84">
        <v>2006</v>
      </c>
      <c r="G36" s="10">
        <f t="shared" si="1"/>
        <v>9.984</v>
      </c>
      <c r="H36" s="79" t="s">
        <v>228</v>
      </c>
      <c r="I36" s="11" t="s">
        <v>229</v>
      </c>
      <c r="J36" s="10">
        <f>27.5*56</f>
        <v>1540</v>
      </c>
      <c r="K36" s="10">
        <f t="shared" si="3"/>
        <v>16570.400000000001</v>
      </c>
      <c r="L36" s="74" t="str">
        <f t="shared" si="2"/>
        <v>RCC framed pillar beam column structure on RCC slab with RCC ROOF SLAB</v>
      </c>
    </row>
    <row r="37" spans="1:12" s="74" customFormat="1" ht="45" x14ac:dyDescent="0.25">
      <c r="A37" s="11">
        <v>33</v>
      </c>
      <c r="B37" s="77" t="s">
        <v>69</v>
      </c>
      <c r="C37" s="8">
        <v>1</v>
      </c>
      <c r="D37" s="8" t="s">
        <v>230</v>
      </c>
      <c r="E37" s="10">
        <f>9*3.328</f>
        <v>29.951999999999998</v>
      </c>
      <c r="F37" s="84">
        <v>2006</v>
      </c>
      <c r="G37" s="10">
        <f t="shared" si="1"/>
        <v>29.951999999999998</v>
      </c>
      <c r="H37" s="79" t="s">
        <v>228</v>
      </c>
      <c r="I37" s="11" t="s">
        <v>229</v>
      </c>
      <c r="J37" s="10">
        <f>27.5*56</f>
        <v>1540</v>
      </c>
      <c r="K37" s="10">
        <f t="shared" si="3"/>
        <v>16570.400000000001</v>
      </c>
      <c r="L37" s="74" t="str">
        <f t="shared" si="2"/>
        <v>RCC framed pillar beam column structure on RCC slab with GALVALUME ROOFING SHED</v>
      </c>
    </row>
    <row r="38" spans="1:12" s="74" customFormat="1" ht="45" x14ac:dyDescent="0.25">
      <c r="A38" s="11">
        <v>34</v>
      </c>
      <c r="B38" s="77" t="s">
        <v>70</v>
      </c>
      <c r="C38" s="8">
        <v>1</v>
      </c>
      <c r="D38" s="8" t="s">
        <v>230</v>
      </c>
      <c r="E38" s="10">
        <f>9*3.328</f>
        <v>29.951999999999998</v>
      </c>
      <c r="F38" s="84">
        <v>2011</v>
      </c>
      <c r="G38" s="10">
        <f t="shared" si="1"/>
        <v>29.951999999999998</v>
      </c>
      <c r="H38" s="80" t="s">
        <v>240</v>
      </c>
      <c r="I38" s="11" t="s">
        <v>229</v>
      </c>
      <c r="J38" s="10">
        <f>27.5*49</f>
        <v>1347.5</v>
      </c>
      <c r="K38" s="10">
        <f t="shared" si="3"/>
        <v>14499.1</v>
      </c>
      <c r="L38" s="74" t="str">
        <f t="shared" si="2"/>
        <v>Galvalume roofed building mounted on PEB steel trusses resting on Metallic column with GALVALUME ROOFING SHED</v>
      </c>
    </row>
    <row r="39" spans="1:12" s="74" customFormat="1" ht="30" x14ac:dyDescent="0.25">
      <c r="A39" s="11">
        <v>35</v>
      </c>
      <c r="B39" s="81" t="s">
        <v>71</v>
      </c>
      <c r="C39" s="8">
        <v>1</v>
      </c>
      <c r="D39" s="8" t="s">
        <v>227</v>
      </c>
      <c r="E39" s="10">
        <f>3.5*3.328</f>
        <v>11.648</v>
      </c>
      <c r="F39" s="78">
        <v>1991</v>
      </c>
      <c r="G39" s="10">
        <f t="shared" si="1"/>
        <v>11.648</v>
      </c>
      <c r="H39" s="79" t="s">
        <v>228</v>
      </c>
      <c r="I39" s="11" t="s">
        <v>229</v>
      </c>
      <c r="J39" s="11">
        <v>5365</v>
      </c>
      <c r="K39" s="10">
        <f t="shared" si="3"/>
        <v>57727.4</v>
      </c>
      <c r="L39" s="74" t="str">
        <f t="shared" si="2"/>
        <v>RCC framed pillar beam column structure on RCC slab with RCC ROOF SLAB</v>
      </c>
    </row>
    <row r="40" spans="1:12" s="74" customFormat="1" ht="30" x14ac:dyDescent="0.25">
      <c r="A40" s="11">
        <v>36</v>
      </c>
      <c r="B40" s="79" t="s">
        <v>72</v>
      </c>
      <c r="C40" s="8">
        <v>1</v>
      </c>
      <c r="D40" s="8" t="s">
        <v>227</v>
      </c>
      <c r="E40" s="10">
        <f>4*3.328</f>
        <v>13.311999999999999</v>
      </c>
      <c r="F40" s="78">
        <v>1998</v>
      </c>
      <c r="G40" s="10">
        <f>E40</f>
        <v>13.311999999999999</v>
      </c>
      <c r="H40" s="79" t="s">
        <v>228</v>
      </c>
      <c r="I40" s="11" t="s">
        <v>229</v>
      </c>
      <c r="J40" s="10">
        <v>233.24</v>
      </c>
      <c r="K40" s="10">
        <f t="shared" si="3"/>
        <v>2509.6624000000002</v>
      </c>
      <c r="L40" s="74" t="str">
        <f t="shared" si="2"/>
        <v>RCC framed pillar beam column structure on RCC slab with RCC ROOF SLAB</v>
      </c>
    </row>
    <row r="41" spans="1:12" s="74" customFormat="1" ht="30" x14ac:dyDescent="0.25">
      <c r="A41" s="11">
        <v>37</v>
      </c>
      <c r="B41" s="79" t="s">
        <v>73</v>
      </c>
      <c r="C41" s="8">
        <v>1</v>
      </c>
      <c r="D41" s="8" t="s">
        <v>227</v>
      </c>
      <c r="E41" s="10">
        <f>7*3.328</f>
        <v>23.295999999999999</v>
      </c>
      <c r="F41" s="78">
        <v>1991</v>
      </c>
      <c r="G41" s="10">
        <f t="shared" ref="G41:G60" si="5">E41</f>
        <v>23.295999999999999</v>
      </c>
      <c r="H41" s="79" t="s">
        <v>228</v>
      </c>
      <c r="I41" s="11" t="s">
        <v>229</v>
      </c>
      <c r="J41" s="10">
        <v>233.24</v>
      </c>
      <c r="K41" s="10">
        <f t="shared" si="3"/>
        <v>2509.6624000000002</v>
      </c>
      <c r="L41" s="74" t="str">
        <f t="shared" si="2"/>
        <v>RCC framed pillar beam column structure on RCC slab with RCC ROOF SLAB</v>
      </c>
    </row>
    <row r="42" spans="1:12" s="74" customFormat="1" ht="30" x14ac:dyDescent="0.25">
      <c r="A42" s="11">
        <v>38</v>
      </c>
      <c r="B42" s="79" t="s">
        <v>74</v>
      </c>
      <c r="C42" s="8">
        <v>1</v>
      </c>
      <c r="D42" s="8" t="s">
        <v>227</v>
      </c>
      <c r="E42" s="10">
        <f>7*3.328</f>
        <v>23.295999999999999</v>
      </c>
      <c r="F42" s="78">
        <v>1991</v>
      </c>
      <c r="G42" s="10">
        <f t="shared" si="5"/>
        <v>23.295999999999999</v>
      </c>
      <c r="H42" s="79" t="s">
        <v>228</v>
      </c>
      <c r="I42" s="11" t="s">
        <v>229</v>
      </c>
      <c r="J42" s="10">
        <v>699.72</v>
      </c>
      <c r="K42" s="10">
        <f t="shared" si="3"/>
        <v>7528.9872000000005</v>
      </c>
      <c r="L42" s="74" t="str">
        <f t="shared" si="2"/>
        <v>RCC framed pillar beam column structure on RCC slab with RCC ROOF SLAB</v>
      </c>
    </row>
    <row r="43" spans="1:12" s="74" customFormat="1" ht="30" x14ac:dyDescent="0.25">
      <c r="A43" s="11">
        <v>39</v>
      </c>
      <c r="B43" s="79" t="s">
        <v>75</v>
      </c>
      <c r="C43" s="8">
        <v>1</v>
      </c>
      <c r="D43" s="8" t="s">
        <v>227</v>
      </c>
      <c r="E43" s="10">
        <f>7*3.328</f>
        <v>23.295999999999999</v>
      </c>
      <c r="F43" s="78">
        <v>1991</v>
      </c>
      <c r="G43" s="10">
        <f t="shared" si="5"/>
        <v>23.295999999999999</v>
      </c>
      <c r="H43" s="79" t="s">
        <v>228</v>
      </c>
      <c r="I43" s="11" t="s">
        <v>229</v>
      </c>
      <c r="J43" s="10">
        <v>233.24</v>
      </c>
      <c r="K43" s="10">
        <f t="shared" si="3"/>
        <v>2509.6624000000002</v>
      </c>
      <c r="L43" s="74" t="str">
        <f t="shared" si="2"/>
        <v>RCC framed pillar beam column structure on RCC slab with RCC ROOF SLAB</v>
      </c>
    </row>
    <row r="44" spans="1:12" s="74" customFormat="1" ht="30" x14ac:dyDescent="0.25">
      <c r="A44" s="11">
        <v>40</v>
      </c>
      <c r="B44" s="79" t="s">
        <v>76</v>
      </c>
      <c r="C44" s="8">
        <v>1</v>
      </c>
      <c r="D44" s="8" t="s">
        <v>227</v>
      </c>
      <c r="E44" s="10">
        <f>7*3.328</f>
        <v>23.295999999999999</v>
      </c>
      <c r="F44" s="78">
        <v>1991</v>
      </c>
      <c r="G44" s="10">
        <f t="shared" si="5"/>
        <v>23.295999999999999</v>
      </c>
      <c r="H44" s="79" t="s">
        <v>228</v>
      </c>
      <c r="I44" s="11" t="s">
        <v>229</v>
      </c>
      <c r="J44" s="10">
        <v>233.24</v>
      </c>
      <c r="K44" s="10">
        <f t="shared" si="3"/>
        <v>2509.6624000000002</v>
      </c>
      <c r="L44" s="74" t="str">
        <f t="shared" si="2"/>
        <v>RCC framed pillar beam column structure on RCC slab with RCC ROOF SLAB</v>
      </c>
    </row>
    <row r="45" spans="1:12" s="74" customFormat="1" ht="30" x14ac:dyDescent="0.25">
      <c r="A45" s="11">
        <v>41</v>
      </c>
      <c r="B45" s="79" t="s">
        <v>77</v>
      </c>
      <c r="C45" s="8">
        <v>1</v>
      </c>
      <c r="D45" s="8" t="s">
        <v>227</v>
      </c>
      <c r="E45" s="10">
        <f>7*3.328</f>
        <v>23.295999999999999</v>
      </c>
      <c r="F45" s="78">
        <v>1991</v>
      </c>
      <c r="G45" s="10">
        <f t="shared" si="5"/>
        <v>23.295999999999999</v>
      </c>
      <c r="H45" s="79" t="s">
        <v>228</v>
      </c>
      <c r="I45" s="11" t="s">
        <v>229</v>
      </c>
      <c r="J45" s="10">
        <v>348.6</v>
      </c>
      <c r="K45" s="10">
        <f t="shared" si="3"/>
        <v>3750.9360000000001</v>
      </c>
      <c r="L45" s="74" t="str">
        <f t="shared" si="2"/>
        <v>RCC framed pillar beam column structure on RCC slab with RCC ROOF SLAB</v>
      </c>
    </row>
    <row r="46" spans="1:12" s="74" customFormat="1" ht="30" x14ac:dyDescent="0.25">
      <c r="A46" s="11">
        <v>42</v>
      </c>
      <c r="B46" s="77" t="s">
        <v>78</v>
      </c>
      <c r="C46" s="8">
        <v>1</v>
      </c>
      <c r="D46" s="8" t="s">
        <v>227</v>
      </c>
      <c r="E46" s="10">
        <f>3.5*3.328</f>
        <v>11.648</v>
      </c>
      <c r="F46" s="78">
        <v>2005</v>
      </c>
      <c r="G46" s="10">
        <f t="shared" si="5"/>
        <v>11.648</v>
      </c>
      <c r="H46" s="79" t="s">
        <v>228</v>
      </c>
      <c r="I46" s="11" t="s">
        <v>229</v>
      </c>
      <c r="J46" s="10">
        <v>348.6</v>
      </c>
      <c r="K46" s="10">
        <f t="shared" si="3"/>
        <v>3750.9360000000001</v>
      </c>
      <c r="L46" s="74" t="str">
        <f t="shared" si="2"/>
        <v>RCC framed pillar beam column structure on RCC slab with RCC ROOF SLAB</v>
      </c>
    </row>
    <row r="47" spans="1:12" s="74" customFormat="1" ht="30" x14ac:dyDescent="0.25">
      <c r="A47" s="11">
        <v>43</v>
      </c>
      <c r="B47" s="79" t="s">
        <v>79</v>
      </c>
      <c r="C47" s="8">
        <v>1</v>
      </c>
      <c r="D47" s="8" t="s">
        <v>227</v>
      </c>
      <c r="E47" s="10">
        <f>3.5*3.328</f>
        <v>11.648</v>
      </c>
      <c r="F47" s="78">
        <v>1991</v>
      </c>
      <c r="G47" s="10">
        <f t="shared" si="5"/>
        <v>11.648</v>
      </c>
      <c r="H47" s="79" t="s">
        <v>228</v>
      </c>
      <c r="I47" s="11" t="s">
        <v>229</v>
      </c>
      <c r="J47" s="11">
        <v>233.24</v>
      </c>
      <c r="K47" s="11">
        <f t="shared" si="3"/>
        <v>2509.6624000000002</v>
      </c>
      <c r="L47" s="74" t="str">
        <f t="shared" si="2"/>
        <v>RCC framed pillar beam column structure on RCC slab with RCC ROOF SLAB</v>
      </c>
    </row>
    <row r="48" spans="1:12" s="74" customFormat="1" ht="30" x14ac:dyDescent="0.25">
      <c r="A48" s="11">
        <v>44</v>
      </c>
      <c r="B48" s="79" t="s">
        <v>80</v>
      </c>
      <c r="C48" s="8">
        <v>1</v>
      </c>
      <c r="D48" s="8" t="s">
        <v>227</v>
      </c>
      <c r="E48" s="10">
        <f>3.5*3.328</f>
        <v>11.648</v>
      </c>
      <c r="F48" s="78">
        <v>1991</v>
      </c>
      <c r="G48" s="10">
        <f t="shared" si="5"/>
        <v>11.648</v>
      </c>
      <c r="H48" s="79" t="s">
        <v>228</v>
      </c>
      <c r="I48" s="11" t="s">
        <v>229</v>
      </c>
      <c r="J48" s="11">
        <v>348.6</v>
      </c>
      <c r="K48" s="11">
        <f t="shared" si="3"/>
        <v>3750.9360000000001</v>
      </c>
      <c r="L48" s="74" t="str">
        <f t="shared" si="2"/>
        <v>RCC framed pillar beam column structure on RCC slab with RCC ROOF SLAB</v>
      </c>
    </row>
    <row r="49" spans="1:12" s="74" customFormat="1" ht="30" x14ac:dyDescent="0.25">
      <c r="A49" s="11">
        <v>45</v>
      </c>
      <c r="B49" s="79" t="s">
        <v>81</v>
      </c>
      <c r="C49" s="11">
        <v>1</v>
      </c>
      <c r="D49" s="8" t="s">
        <v>227</v>
      </c>
      <c r="E49" s="10">
        <f>3.5*3.328</f>
        <v>11.648</v>
      </c>
      <c r="F49" s="78">
        <v>1991</v>
      </c>
      <c r="G49" s="10">
        <f t="shared" si="5"/>
        <v>11.648</v>
      </c>
      <c r="H49" s="79" t="s">
        <v>228</v>
      </c>
      <c r="I49" s="11" t="s">
        <v>229</v>
      </c>
      <c r="J49" s="11">
        <v>116.62</v>
      </c>
      <c r="K49" s="11">
        <f t="shared" si="3"/>
        <v>1254.8312000000001</v>
      </c>
      <c r="L49" s="74" t="str">
        <f t="shared" si="2"/>
        <v>RCC framed pillar beam column structure on RCC slab with RCC ROOF SLAB</v>
      </c>
    </row>
    <row r="50" spans="1:12" s="74" customFormat="1" ht="30" x14ac:dyDescent="0.25">
      <c r="A50" s="11">
        <v>46</v>
      </c>
      <c r="B50" s="79" t="s">
        <v>82</v>
      </c>
      <c r="C50" s="11">
        <v>1</v>
      </c>
      <c r="D50" s="8" t="s">
        <v>227</v>
      </c>
      <c r="E50" s="10">
        <f>3.5*3.328</f>
        <v>11.648</v>
      </c>
      <c r="F50" s="78">
        <v>1991</v>
      </c>
      <c r="G50" s="10">
        <f t="shared" si="5"/>
        <v>11.648</v>
      </c>
      <c r="H50" s="79" t="s">
        <v>228</v>
      </c>
      <c r="I50" s="11" t="s">
        <v>229</v>
      </c>
      <c r="J50" s="11">
        <v>233.24</v>
      </c>
      <c r="K50" s="11">
        <f t="shared" si="3"/>
        <v>2509.6624000000002</v>
      </c>
      <c r="L50" s="74" t="str">
        <f t="shared" si="2"/>
        <v>RCC framed pillar beam column structure on RCC slab with RCC ROOF SLAB</v>
      </c>
    </row>
    <row r="51" spans="1:12" s="74" customFormat="1" ht="30" x14ac:dyDescent="0.25">
      <c r="A51" s="11">
        <v>47</v>
      </c>
      <c r="B51" s="79" t="s">
        <v>83</v>
      </c>
      <c r="C51" s="11">
        <v>1</v>
      </c>
      <c r="D51" s="8" t="s">
        <v>227</v>
      </c>
      <c r="E51" s="10">
        <f>7*3.328</f>
        <v>23.295999999999999</v>
      </c>
      <c r="F51" s="78">
        <v>1991</v>
      </c>
      <c r="G51" s="10">
        <f t="shared" si="5"/>
        <v>23.295999999999999</v>
      </c>
      <c r="H51" s="79" t="s">
        <v>228</v>
      </c>
      <c r="I51" s="11" t="s">
        <v>229</v>
      </c>
      <c r="J51" s="11">
        <v>283.22000000000003</v>
      </c>
      <c r="K51" s="11">
        <f t="shared" si="3"/>
        <v>3047.4472000000001</v>
      </c>
      <c r="L51" s="74" t="str">
        <f t="shared" si="2"/>
        <v>RCC framed pillar beam column structure on RCC slab with RCC ROOF SLAB</v>
      </c>
    </row>
    <row r="52" spans="1:12" s="74" customFormat="1" ht="30" x14ac:dyDescent="0.25">
      <c r="A52" s="11">
        <v>48</v>
      </c>
      <c r="B52" s="79" t="s">
        <v>84</v>
      </c>
      <c r="C52" s="11">
        <v>1</v>
      </c>
      <c r="D52" s="8" t="s">
        <v>227</v>
      </c>
      <c r="E52" s="10">
        <f>7*3.328</f>
        <v>23.295999999999999</v>
      </c>
      <c r="F52" s="78">
        <v>1991</v>
      </c>
      <c r="G52" s="10">
        <f t="shared" si="5"/>
        <v>23.295999999999999</v>
      </c>
      <c r="H52" s="79" t="s">
        <v>228</v>
      </c>
      <c r="I52" s="11" t="s">
        <v>229</v>
      </c>
      <c r="J52" s="11">
        <v>516.46</v>
      </c>
      <c r="K52" s="11">
        <f t="shared" si="3"/>
        <v>5557.1096000000007</v>
      </c>
      <c r="L52" s="74" t="str">
        <f t="shared" si="2"/>
        <v>RCC framed pillar beam column structure on RCC slab with RCC ROOF SLAB</v>
      </c>
    </row>
    <row r="53" spans="1:12" s="74" customFormat="1" ht="30" x14ac:dyDescent="0.25">
      <c r="A53" s="11">
        <v>49</v>
      </c>
      <c r="B53" s="83" t="s">
        <v>85</v>
      </c>
      <c r="C53" s="11">
        <v>1</v>
      </c>
      <c r="D53" s="8" t="s">
        <v>227</v>
      </c>
      <c r="E53" s="10">
        <f>7*3.328</f>
        <v>23.295999999999999</v>
      </c>
      <c r="F53" s="78">
        <v>1991</v>
      </c>
      <c r="G53" s="10">
        <f t="shared" si="5"/>
        <v>23.295999999999999</v>
      </c>
      <c r="H53" s="79" t="s">
        <v>228</v>
      </c>
      <c r="I53" s="11" t="s">
        <v>229</v>
      </c>
      <c r="J53" s="11">
        <v>783.72</v>
      </c>
      <c r="K53" s="11">
        <f t="shared" si="3"/>
        <v>8432.8271999999997</v>
      </c>
      <c r="L53" s="74" t="str">
        <f t="shared" si="2"/>
        <v>RCC framed pillar beam column structure on RCC slab with RCC ROOF SLAB</v>
      </c>
    </row>
    <row r="54" spans="1:12" s="74" customFormat="1" ht="30" x14ac:dyDescent="0.25">
      <c r="A54" s="11">
        <v>50</v>
      </c>
      <c r="B54" s="79" t="s">
        <v>86</v>
      </c>
      <c r="C54" s="11">
        <v>1</v>
      </c>
      <c r="D54" s="8" t="s">
        <v>227</v>
      </c>
      <c r="E54" s="10">
        <f>7*3.328</f>
        <v>23.295999999999999</v>
      </c>
      <c r="F54" s="78">
        <v>1991</v>
      </c>
      <c r="G54" s="10">
        <f t="shared" si="5"/>
        <v>23.295999999999999</v>
      </c>
      <c r="H54" s="79" t="s">
        <v>228</v>
      </c>
      <c r="I54" s="11" t="s">
        <v>229</v>
      </c>
      <c r="J54" s="11">
        <v>349.86</v>
      </c>
      <c r="K54" s="11">
        <f t="shared" si="3"/>
        <v>3764.4936000000002</v>
      </c>
      <c r="L54" s="74" t="str">
        <f t="shared" si="2"/>
        <v>RCC framed pillar beam column structure on RCC slab with RCC ROOF SLAB</v>
      </c>
    </row>
    <row r="55" spans="1:12" s="74" customFormat="1" ht="30" x14ac:dyDescent="0.25">
      <c r="A55" s="11">
        <v>51</v>
      </c>
      <c r="B55" s="81" t="s">
        <v>87</v>
      </c>
      <c r="C55" s="11">
        <v>1</v>
      </c>
      <c r="D55" s="8" t="s">
        <v>227</v>
      </c>
      <c r="E55" s="10">
        <f>4*3.328</f>
        <v>13.311999999999999</v>
      </c>
      <c r="F55" s="78">
        <v>1991</v>
      </c>
      <c r="G55" s="10">
        <f t="shared" si="5"/>
        <v>13.311999999999999</v>
      </c>
      <c r="H55" s="79" t="s">
        <v>228</v>
      </c>
      <c r="I55" s="11" t="s">
        <v>229</v>
      </c>
      <c r="J55" s="11">
        <v>1632.67</v>
      </c>
      <c r="K55" s="11">
        <f t="shared" si="3"/>
        <v>17567.529200000001</v>
      </c>
      <c r="L55" s="74" t="str">
        <f t="shared" si="2"/>
        <v>RCC framed pillar beam column structure on RCC slab with RCC ROOF SLAB</v>
      </c>
    </row>
    <row r="56" spans="1:12" s="74" customFormat="1" ht="30" x14ac:dyDescent="0.25">
      <c r="A56" s="11">
        <v>52</v>
      </c>
      <c r="B56" s="81" t="s">
        <v>88</v>
      </c>
      <c r="C56" s="11">
        <v>1</v>
      </c>
      <c r="D56" s="8" t="s">
        <v>227</v>
      </c>
      <c r="E56" s="11">
        <v>10</v>
      </c>
      <c r="F56" s="78">
        <v>1991</v>
      </c>
      <c r="G56" s="10">
        <f t="shared" si="5"/>
        <v>10</v>
      </c>
      <c r="H56" s="79" t="s">
        <v>228</v>
      </c>
      <c r="I56" s="11" t="s">
        <v>229</v>
      </c>
      <c r="J56" s="11">
        <v>61.75</v>
      </c>
      <c r="K56" s="11">
        <f t="shared" si="3"/>
        <v>664.43</v>
      </c>
      <c r="L56" s="74" t="str">
        <f t="shared" si="2"/>
        <v>RCC framed pillar beam column structure on RCC slab with RCC ROOF SLAB</v>
      </c>
    </row>
    <row r="57" spans="1:12" s="74" customFormat="1" ht="45" x14ac:dyDescent="0.25">
      <c r="A57" s="11">
        <v>53</v>
      </c>
      <c r="B57" s="81" t="s">
        <v>89</v>
      </c>
      <c r="C57" s="11">
        <v>1</v>
      </c>
      <c r="D57" s="8" t="s">
        <v>230</v>
      </c>
      <c r="E57" s="10">
        <f>5.5*3.328</f>
        <v>18.303999999999998</v>
      </c>
      <c r="F57" s="78">
        <v>1991</v>
      </c>
      <c r="G57" s="10">
        <f t="shared" si="5"/>
        <v>18.303999999999998</v>
      </c>
      <c r="H57" s="80" t="s">
        <v>238</v>
      </c>
      <c r="I57" s="11" t="s">
        <v>229</v>
      </c>
      <c r="J57" s="30">
        <f>(19.724+19.87)*31.047</f>
        <v>1229.2749180000001</v>
      </c>
      <c r="K57" s="85">
        <f t="shared" si="3"/>
        <v>13226.998117680001</v>
      </c>
      <c r="L57" s="74" t="str">
        <f t="shared" si="2"/>
        <v>Galvalume sheet roofed building mounted on steel trusses resting on RCC column &amp; Brick Wall with GALVALUME ROOFING SHED</v>
      </c>
    </row>
    <row r="58" spans="1:12" s="74" customFormat="1" ht="45" x14ac:dyDescent="0.25">
      <c r="A58" s="11">
        <v>54</v>
      </c>
      <c r="B58" s="82" t="s">
        <v>90</v>
      </c>
      <c r="C58" s="11">
        <v>1</v>
      </c>
      <c r="D58" s="8" t="s">
        <v>230</v>
      </c>
      <c r="E58" s="10">
        <f>11*3.328</f>
        <v>36.607999999999997</v>
      </c>
      <c r="F58" s="78">
        <v>1991</v>
      </c>
      <c r="G58" s="10">
        <f t="shared" si="5"/>
        <v>36.607999999999997</v>
      </c>
      <c r="H58" s="80" t="s">
        <v>238</v>
      </c>
      <c r="I58" s="11" t="s">
        <v>229</v>
      </c>
      <c r="J58" s="30">
        <f>10.218*18.425</f>
        <v>188.26665</v>
      </c>
      <c r="K58" s="85">
        <f t="shared" si="3"/>
        <v>2025.7491539999999</v>
      </c>
      <c r="L58" s="74" t="str">
        <f t="shared" si="2"/>
        <v>Galvalume sheet roofed building mounted on steel trusses resting on RCC column &amp; Brick Wall with GALVALUME ROOFING SHED</v>
      </c>
    </row>
    <row r="59" spans="1:12" s="74" customFormat="1" ht="30" x14ac:dyDescent="0.25">
      <c r="A59" s="11">
        <v>55</v>
      </c>
      <c r="B59" s="82" t="s">
        <v>91</v>
      </c>
      <c r="C59" s="11">
        <v>1</v>
      </c>
      <c r="D59" s="8" t="s">
        <v>227</v>
      </c>
      <c r="E59" s="10">
        <f>2.8*3.328</f>
        <v>9.3183999999999987</v>
      </c>
      <c r="F59" s="78">
        <v>1991</v>
      </c>
      <c r="G59" s="10">
        <f t="shared" si="5"/>
        <v>9.3183999999999987</v>
      </c>
      <c r="H59" s="79" t="s">
        <v>228</v>
      </c>
      <c r="I59" s="11" t="s">
        <v>229</v>
      </c>
      <c r="J59" s="30">
        <f>9*7</f>
        <v>63</v>
      </c>
      <c r="K59" s="85">
        <f t="shared" si="3"/>
        <v>677.88</v>
      </c>
      <c r="L59" s="74" t="str">
        <f t="shared" si="2"/>
        <v>RCC framed pillar beam column structure on RCC slab with RCC ROOF SLAB</v>
      </c>
    </row>
    <row r="60" spans="1:12" s="74" customFormat="1" x14ac:dyDescent="0.25">
      <c r="A60" s="11">
        <v>56</v>
      </c>
      <c r="B60" s="77" t="s">
        <v>92</v>
      </c>
      <c r="C60" s="11">
        <v>0</v>
      </c>
      <c r="D60" s="8" t="s">
        <v>241</v>
      </c>
      <c r="E60" s="10">
        <v>0</v>
      </c>
      <c r="F60" s="78">
        <v>1991</v>
      </c>
      <c r="G60" s="10">
        <f t="shared" si="5"/>
        <v>0</v>
      </c>
      <c r="H60" s="79" t="s">
        <v>242</v>
      </c>
      <c r="I60" s="11" t="s">
        <v>229</v>
      </c>
      <c r="J60" s="11">
        <v>215.5</v>
      </c>
      <c r="K60" s="85">
        <f t="shared" si="3"/>
        <v>2318.7799999999997</v>
      </c>
      <c r="L60" s="74" t="str">
        <f t="shared" si="2"/>
        <v>Open Yard with YARD</v>
      </c>
    </row>
    <row r="61" spans="1:12" s="74" customFormat="1" ht="30" x14ac:dyDescent="0.25">
      <c r="A61" s="11">
        <v>57</v>
      </c>
      <c r="B61" s="77" t="s">
        <v>93</v>
      </c>
      <c r="C61" s="11">
        <v>1</v>
      </c>
      <c r="D61" s="8" t="s">
        <v>227</v>
      </c>
      <c r="E61" s="10">
        <f>4*3.328</f>
        <v>13.311999999999999</v>
      </c>
      <c r="F61" s="78">
        <v>1991</v>
      </c>
      <c r="G61" s="10">
        <f>E61</f>
        <v>13.311999999999999</v>
      </c>
      <c r="H61" s="79" t="s">
        <v>228</v>
      </c>
      <c r="I61" s="11" t="s">
        <v>229</v>
      </c>
      <c r="J61" s="11">
        <f>11*4</f>
        <v>44</v>
      </c>
      <c r="K61" s="85">
        <f t="shared" si="3"/>
        <v>473.44</v>
      </c>
      <c r="L61" s="74" t="str">
        <f t="shared" si="2"/>
        <v>RCC framed pillar beam column structure on RCC slab with RCC ROOF SLAB</v>
      </c>
    </row>
    <row r="62" spans="1:12" s="74" customFormat="1" x14ac:dyDescent="0.25">
      <c r="A62" s="11">
        <v>58</v>
      </c>
      <c r="B62" s="77" t="s">
        <v>94</v>
      </c>
      <c r="C62" s="11">
        <v>0</v>
      </c>
      <c r="D62" s="8" t="s">
        <v>241</v>
      </c>
      <c r="E62" s="10">
        <v>0</v>
      </c>
      <c r="F62" s="78">
        <v>1991</v>
      </c>
      <c r="G62" s="10">
        <f>E62</f>
        <v>0</v>
      </c>
      <c r="H62" s="79" t="s">
        <v>242</v>
      </c>
      <c r="I62" s="11" t="s">
        <v>229</v>
      </c>
      <c r="J62" s="11">
        <f>40.88</f>
        <v>40.880000000000003</v>
      </c>
      <c r="K62" s="85">
        <f t="shared" si="3"/>
        <v>439.86880000000002</v>
      </c>
      <c r="L62" s="74" t="str">
        <f t="shared" si="2"/>
        <v>Open Yard with YARD</v>
      </c>
    </row>
    <row r="63" spans="1:12" s="74" customFormat="1" ht="45" x14ac:dyDescent="0.25">
      <c r="A63" s="11">
        <v>59</v>
      </c>
      <c r="B63" s="77" t="s">
        <v>95</v>
      </c>
      <c r="C63" s="11">
        <v>1</v>
      </c>
      <c r="D63" s="8" t="s">
        <v>243</v>
      </c>
      <c r="E63" s="10">
        <f>6*3.328</f>
        <v>19.968</v>
      </c>
      <c r="F63" s="78">
        <v>1991</v>
      </c>
      <c r="G63" s="10">
        <f t="shared" ref="G63:G80" si="6">E63</f>
        <v>19.968</v>
      </c>
      <c r="H63" s="80" t="s">
        <v>244</v>
      </c>
      <c r="I63" s="11" t="s">
        <v>229</v>
      </c>
      <c r="J63" s="11">
        <v>190.63</v>
      </c>
      <c r="K63" s="85">
        <f t="shared" si="3"/>
        <v>2051.1788000000001</v>
      </c>
      <c r="L63" s="74" t="str">
        <f t="shared" si="2"/>
        <v>Asbestos sheet roofed building mounted on steel trusses resting on RCC column &amp; Brick Wall with ASBESTOS ROOFING SHED</v>
      </c>
    </row>
    <row r="64" spans="1:12" s="74" customFormat="1" x14ac:dyDescent="0.25">
      <c r="A64" s="11">
        <v>60</v>
      </c>
      <c r="B64" s="77" t="s">
        <v>96</v>
      </c>
      <c r="C64" s="11">
        <v>0</v>
      </c>
      <c r="D64" s="11" t="s">
        <v>241</v>
      </c>
      <c r="E64" s="10">
        <v>0</v>
      </c>
      <c r="F64" s="78">
        <v>1991</v>
      </c>
      <c r="G64" s="10">
        <f t="shared" si="6"/>
        <v>0</v>
      </c>
      <c r="H64" s="79" t="s">
        <v>242</v>
      </c>
      <c r="I64" s="11" t="s">
        <v>229</v>
      </c>
      <c r="J64" s="11">
        <v>273.62</v>
      </c>
      <c r="K64" s="85">
        <f t="shared" si="3"/>
        <v>2944.1511999999998</v>
      </c>
      <c r="L64" s="74" t="str">
        <f t="shared" si="2"/>
        <v>Open Yard with YARD</v>
      </c>
    </row>
    <row r="65" spans="1:12" s="74" customFormat="1" ht="45" x14ac:dyDescent="0.25">
      <c r="A65" s="11">
        <v>61</v>
      </c>
      <c r="B65" s="81" t="s">
        <v>97</v>
      </c>
      <c r="C65" s="11">
        <v>1</v>
      </c>
      <c r="D65" s="8" t="s">
        <v>243</v>
      </c>
      <c r="E65" s="10">
        <f>6*3.328</f>
        <v>19.968</v>
      </c>
      <c r="F65" s="78">
        <v>1991</v>
      </c>
      <c r="G65" s="10">
        <f t="shared" si="6"/>
        <v>19.968</v>
      </c>
      <c r="H65" s="80" t="s">
        <v>244</v>
      </c>
      <c r="I65" s="11" t="s">
        <v>229</v>
      </c>
      <c r="J65" s="11">
        <v>1122.69</v>
      </c>
      <c r="K65" s="85">
        <f t="shared" si="3"/>
        <v>12080.144400000001</v>
      </c>
      <c r="L65" s="74" t="str">
        <f t="shared" si="2"/>
        <v>Asbestos sheet roofed building mounted on steel trusses resting on RCC column &amp; Brick Wall with ASBESTOS ROOFING SHED</v>
      </c>
    </row>
    <row r="66" spans="1:12" s="74" customFormat="1" ht="45" x14ac:dyDescent="0.25">
      <c r="A66" s="11">
        <v>62</v>
      </c>
      <c r="B66" s="81" t="s">
        <v>98</v>
      </c>
      <c r="C66" s="11">
        <v>1</v>
      </c>
      <c r="D66" s="8" t="s">
        <v>243</v>
      </c>
      <c r="E66" s="10">
        <f>8.5*3.328</f>
        <v>28.288</v>
      </c>
      <c r="F66" s="78">
        <v>1991</v>
      </c>
      <c r="G66" s="10">
        <f t="shared" si="6"/>
        <v>28.288</v>
      </c>
      <c r="H66" s="80" t="s">
        <v>244</v>
      </c>
      <c r="I66" s="11" t="s">
        <v>245</v>
      </c>
      <c r="J66" s="11">
        <v>1082.93</v>
      </c>
      <c r="K66" s="85">
        <f t="shared" si="3"/>
        <v>11652.326800000001</v>
      </c>
      <c r="L66" s="74" t="str">
        <f t="shared" si="2"/>
        <v>Asbestos sheet roofed building mounted on steel trusses resting on RCC column &amp; Brick Wall with ASBESTOS ROOFING SHED</v>
      </c>
    </row>
    <row r="67" spans="1:12" s="74" customFormat="1" ht="30" x14ac:dyDescent="0.25">
      <c r="A67" s="11">
        <v>63</v>
      </c>
      <c r="B67" s="77" t="s">
        <v>99</v>
      </c>
      <c r="C67" s="11">
        <v>1</v>
      </c>
      <c r="D67" s="8" t="s">
        <v>227</v>
      </c>
      <c r="E67" s="10">
        <f>6*3.328</f>
        <v>19.968</v>
      </c>
      <c r="F67" s="78">
        <v>1991</v>
      </c>
      <c r="G67" s="10">
        <f t="shared" si="6"/>
        <v>19.968</v>
      </c>
      <c r="H67" s="79" t="s">
        <v>228</v>
      </c>
      <c r="I67" s="11" t="s">
        <v>229</v>
      </c>
      <c r="J67" s="11">
        <v>525.91999999999996</v>
      </c>
      <c r="K67" s="85">
        <f t="shared" si="3"/>
        <v>5658.8991999999998</v>
      </c>
      <c r="L67" s="74" t="str">
        <f t="shared" si="2"/>
        <v>RCC framed pillar beam column structure on RCC slab with RCC ROOF SLAB</v>
      </c>
    </row>
    <row r="68" spans="1:12" s="74" customFormat="1" ht="30" x14ac:dyDescent="0.25">
      <c r="A68" s="11">
        <v>64</v>
      </c>
      <c r="B68" s="79" t="s">
        <v>100</v>
      </c>
      <c r="C68" s="11">
        <v>1</v>
      </c>
      <c r="D68" s="8" t="s">
        <v>227</v>
      </c>
      <c r="E68" s="10">
        <f>7*3.328</f>
        <v>23.295999999999999</v>
      </c>
      <c r="F68" s="78">
        <v>1991</v>
      </c>
      <c r="G68" s="10">
        <f t="shared" si="6"/>
        <v>23.295999999999999</v>
      </c>
      <c r="H68" s="79" t="s">
        <v>228</v>
      </c>
      <c r="I68" s="11" t="s">
        <v>229</v>
      </c>
      <c r="J68" s="11">
        <v>260.76</v>
      </c>
      <c r="K68" s="85">
        <f t="shared" si="3"/>
        <v>2805.7775999999999</v>
      </c>
      <c r="L68" s="74" t="str">
        <f t="shared" si="2"/>
        <v>RCC framed pillar beam column structure on RCC slab with RCC ROOF SLAB</v>
      </c>
    </row>
    <row r="69" spans="1:12" s="74" customFormat="1" ht="30" x14ac:dyDescent="0.25">
      <c r="A69" s="11">
        <v>65</v>
      </c>
      <c r="B69" s="77" t="s">
        <v>101</v>
      </c>
      <c r="C69" s="11">
        <v>1</v>
      </c>
      <c r="D69" s="8" t="s">
        <v>227</v>
      </c>
      <c r="E69" s="10">
        <f>4.5*3.328</f>
        <v>14.975999999999999</v>
      </c>
      <c r="F69" s="78">
        <v>1991</v>
      </c>
      <c r="G69" s="10">
        <f t="shared" si="6"/>
        <v>14.975999999999999</v>
      </c>
      <c r="H69" s="79" t="s">
        <v>228</v>
      </c>
      <c r="I69" s="11" t="s">
        <v>229</v>
      </c>
      <c r="J69" s="11">
        <f>1*13.5*7</f>
        <v>94.5</v>
      </c>
      <c r="K69" s="85">
        <f t="shared" si="3"/>
        <v>1016.8199999999999</v>
      </c>
      <c r="L69" s="74" t="str">
        <f t="shared" si="2"/>
        <v>RCC framed pillar beam column structure on RCC slab with RCC ROOF SLAB</v>
      </c>
    </row>
    <row r="70" spans="1:12" s="74" customFormat="1" ht="30" x14ac:dyDescent="0.25">
      <c r="A70" s="11">
        <v>66</v>
      </c>
      <c r="B70" s="77" t="s">
        <v>102</v>
      </c>
      <c r="C70" s="11">
        <v>1</v>
      </c>
      <c r="D70" s="8" t="s">
        <v>227</v>
      </c>
      <c r="E70" s="10">
        <f>3.5*3.328</f>
        <v>11.648</v>
      </c>
      <c r="F70" s="78">
        <v>1991</v>
      </c>
      <c r="G70" s="10">
        <f t="shared" si="6"/>
        <v>11.648</v>
      </c>
      <c r="H70" s="79" t="s">
        <v>228</v>
      </c>
      <c r="I70" s="11" t="s">
        <v>229</v>
      </c>
      <c r="J70" s="11">
        <f>1*27.5*7</f>
        <v>192.5</v>
      </c>
      <c r="K70" s="85">
        <f t="shared" si="3"/>
        <v>2071.3000000000002</v>
      </c>
      <c r="L70" s="74" t="str">
        <f t="shared" ref="L70:L124" si="7">H70&amp;" with "&amp;D70</f>
        <v>RCC framed pillar beam column structure on RCC slab with RCC ROOF SLAB</v>
      </c>
    </row>
    <row r="71" spans="1:12" s="74" customFormat="1" x14ac:dyDescent="0.25">
      <c r="A71" s="11">
        <v>67</v>
      </c>
      <c r="B71" s="77" t="s">
        <v>103</v>
      </c>
      <c r="C71" s="11">
        <v>0</v>
      </c>
      <c r="D71" s="11" t="s">
        <v>241</v>
      </c>
      <c r="E71" s="10">
        <v>0</v>
      </c>
      <c r="F71" s="78">
        <v>1991</v>
      </c>
      <c r="G71" s="10">
        <f t="shared" si="6"/>
        <v>0</v>
      </c>
      <c r="H71" s="79" t="s">
        <v>242</v>
      </c>
      <c r="I71" s="11" t="s">
        <v>229</v>
      </c>
      <c r="J71" s="11">
        <v>273.62</v>
      </c>
      <c r="K71" s="85">
        <f t="shared" si="3"/>
        <v>2944.1511999999998</v>
      </c>
      <c r="L71" s="74" t="str">
        <f t="shared" si="7"/>
        <v>Open Yard with YARD</v>
      </c>
    </row>
    <row r="72" spans="1:12" s="74" customFormat="1" x14ac:dyDescent="0.25">
      <c r="A72" s="11">
        <v>68</v>
      </c>
      <c r="B72" s="81" t="s">
        <v>104</v>
      </c>
      <c r="C72" s="11">
        <v>0</v>
      </c>
      <c r="D72" s="11" t="s">
        <v>241</v>
      </c>
      <c r="E72" s="10">
        <v>0</v>
      </c>
      <c r="F72" s="78">
        <v>1991</v>
      </c>
      <c r="G72" s="10">
        <f t="shared" si="6"/>
        <v>0</v>
      </c>
      <c r="H72" s="79" t="s">
        <v>242</v>
      </c>
      <c r="I72" s="11" t="s">
        <v>229</v>
      </c>
      <c r="J72" s="11">
        <v>273.60000000000002</v>
      </c>
      <c r="K72" s="85">
        <f t="shared" si="3"/>
        <v>2943.9360000000001</v>
      </c>
      <c r="L72" s="74" t="str">
        <f t="shared" si="7"/>
        <v>Open Yard with YARD</v>
      </c>
    </row>
    <row r="73" spans="1:12" s="74" customFormat="1" ht="30" x14ac:dyDescent="0.25">
      <c r="A73" s="11">
        <v>69</v>
      </c>
      <c r="B73" s="77" t="s">
        <v>105</v>
      </c>
      <c r="C73" s="11">
        <v>1</v>
      </c>
      <c r="D73" s="8" t="s">
        <v>227</v>
      </c>
      <c r="E73" s="10">
        <f>7*3.328</f>
        <v>23.295999999999999</v>
      </c>
      <c r="F73" s="78">
        <v>1991</v>
      </c>
      <c r="G73" s="10">
        <f t="shared" si="6"/>
        <v>23.295999999999999</v>
      </c>
      <c r="H73" s="79" t="s">
        <v>228</v>
      </c>
      <c r="I73" s="11" t="s">
        <v>229</v>
      </c>
      <c r="J73" s="11">
        <v>392.58</v>
      </c>
      <c r="K73" s="85">
        <f t="shared" si="3"/>
        <v>4224.1607999999997</v>
      </c>
      <c r="L73" s="74" t="str">
        <f t="shared" si="7"/>
        <v>RCC framed pillar beam column structure on RCC slab with RCC ROOF SLAB</v>
      </c>
    </row>
    <row r="74" spans="1:12" s="74" customFormat="1" x14ac:dyDescent="0.25">
      <c r="A74" s="11">
        <v>70</v>
      </c>
      <c r="B74" s="81" t="s">
        <v>106</v>
      </c>
      <c r="C74" s="11">
        <v>1</v>
      </c>
      <c r="D74" s="11" t="s">
        <v>241</v>
      </c>
      <c r="E74" s="10">
        <v>0</v>
      </c>
      <c r="F74" s="78">
        <v>1991</v>
      </c>
      <c r="G74" s="10">
        <f t="shared" si="6"/>
        <v>0</v>
      </c>
      <c r="H74" s="79" t="s">
        <v>242</v>
      </c>
      <c r="I74" s="11" t="s">
        <v>229</v>
      </c>
      <c r="J74" s="11">
        <v>600.5</v>
      </c>
      <c r="K74" s="85">
        <f t="shared" si="3"/>
        <v>6461.38</v>
      </c>
      <c r="L74" s="74" t="str">
        <f t="shared" si="7"/>
        <v>Open Yard with YARD</v>
      </c>
    </row>
    <row r="75" spans="1:12" s="74" customFormat="1" ht="30" x14ac:dyDescent="0.25">
      <c r="A75" s="11">
        <v>71</v>
      </c>
      <c r="B75" s="77" t="s">
        <v>107</v>
      </c>
      <c r="C75" s="11">
        <v>1</v>
      </c>
      <c r="D75" s="8" t="s">
        <v>227</v>
      </c>
      <c r="E75" s="10">
        <f>3.5*3.328</f>
        <v>11.648</v>
      </c>
      <c r="F75" s="78">
        <v>1991</v>
      </c>
      <c r="G75" s="10">
        <f t="shared" si="6"/>
        <v>11.648</v>
      </c>
      <c r="H75" s="79" t="s">
        <v>228</v>
      </c>
      <c r="I75" s="11" t="s">
        <v>229</v>
      </c>
      <c r="J75" s="11">
        <v>445.15</v>
      </c>
      <c r="K75" s="85">
        <f t="shared" si="3"/>
        <v>4789.8139999999994</v>
      </c>
      <c r="L75" s="74" t="str">
        <f t="shared" si="7"/>
        <v>RCC framed pillar beam column structure on RCC slab with RCC ROOF SLAB</v>
      </c>
    </row>
    <row r="76" spans="1:12" s="74" customFormat="1" ht="30" x14ac:dyDescent="0.25">
      <c r="A76" s="11">
        <v>72</v>
      </c>
      <c r="B76" s="77" t="s">
        <v>108</v>
      </c>
      <c r="C76" s="11">
        <v>1</v>
      </c>
      <c r="D76" s="8" t="s">
        <v>227</v>
      </c>
      <c r="E76" s="10">
        <f>2.5*3.328</f>
        <v>8.32</v>
      </c>
      <c r="F76" s="78">
        <v>1991</v>
      </c>
      <c r="G76" s="10">
        <f t="shared" si="6"/>
        <v>8.32</v>
      </c>
      <c r="H76" s="79" t="s">
        <v>228</v>
      </c>
      <c r="I76" s="11" t="s">
        <v>229</v>
      </c>
      <c r="J76" s="11">
        <f>2*10.11</f>
        <v>20.22</v>
      </c>
      <c r="K76" s="85">
        <f t="shared" si="3"/>
        <v>217.56719999999999</v>
      </c>
      <c r="L76" s="74" t="str">
        <f t="shared" si="7"/>
        <v>RCC framed pillar beam column structure on RCC slab with RCC ROOF SLAB</v>
      </c>
    </row>
    <row r="77" spans="1:12" s="74" customFormat="1" ht="45" x14ac:dyDescent="0.25">
      <c r="A77" s="11">
        <v>73</v>
      </c>
      <c r="B77" s="77" t="s">
        <v>109</v>
      </c>
      <c r="C77" s="11">
        <v>1</v>
      </c>
      <c r="D77" s="8" t="s">
        <v>243</v>
      </c>
      <c r="E77" s="10">
        <f>4.5*3.328</f>
        <v>14.975999999999999</v>
      </c>
      <c r="F77" s="78">
        <v>1991</v>
      </c>
      <c r="G77" s="10">
        <f t="shared" si="6"/>
        <v>14.975999999999999</v>
      </c>
      <c r="H77" s="80" t="s">
        <v>244</v>
      </c>
      <c r="I77" s="11" t="s">
        <v>245</v>
      </c>
      <c r="J77" s="11">
        <f>3*7</f>
        <v>21</v>
      </c>
      <c r="K77" s="85">
        <f t="shared" si="3"/>
        <v>225.96</v>
      </c>
      <c r="L77" s="74" t="str">
        <f t="shared" si="7"/>
        <v>Asbestos sheet roofed building mounted on steel trusses resting on RCC column &amp; Brick Wall with ASBESTOS ROOFING SHED</v>
      </c>
    </row>
    <row r="78" spans="1:12" s="74" customFormat="1" ht="45" x14ac:dyDescent="0.25">
      <c r="A78" s="11">
        <v>74</v>
      </c>
      <c r="B78" s="77" t="s">
        <v>110</v>
      </c>
      <c r="C78" s="11">
        <v>1</v>
      </c>
      <c r="D78" s="8" t="s">
        <v>243</v>
      </c>
      <c r="E78" s="10">
        <f>6.5*3.328</f>
        <v>21.631999999999998</v>
      </c>
      <c r="F78" s="78">
        <v>1991</v>
      </c>
      <c r="G78" s="10">
        <f t="shared" si="6"/>
        <v>21.631999999999998</v>
      </c>
      <c r="H78" s="80" t="s">
        <v>244</v>
      </c>
      <c r="I78" s="11" t="s">
        <v>245</v>
      </c>
      <c r="J78" s="11">
        <f>3*4</f>
        <v>12</v>
      </c>
      <c r="K78" s="85">
        <f t="shared" si="3"/>
        <v>129.12</v>
      </c>
      <c r="L78" s="74" t="str">
        <f t="shared" si="7"/>
        <v>Asbestos sheet roofed building mounted on steel trusses resting on RCC column &amp; Brick Wall with ASBESTOS ROOFING SHED</v>
      </c>
    </row>
    <row r="79" spans="1:12" s="74" customFormat="1" ht="30" x14ac:dyDescent="0.25">
      <c r="A79" s="11">
        <v>75</v>
      </c>
      <c r="B79" s="77" t="s">
        <v>111</v>
      </c>
      <c r="C79" s="11">
        <v>1</v>
      </c>
      <c r="D79" s="8" t="s">
        <v>227</v>
      </c>
      <c r="E79" s="10">
        <f>(6+5)*3.328</f>
        <v>36.607999999999997</v>
      </c>
      <c r="F79" s="78">
        <v>1991</v>
      </c>
      <c r="G79" s="10">
        <f t="shared" si="6"/>
        <v>36.607999999999997</v>
      </c>
      <c r="H79" s="79" t="s">
        <v>228</v>
      </c>
      <c r="I79" s="11" t="s">
        <v>229</v>
      </c>
      <c r="J79" s="11">
        <v>198.45</v>
      </c>
      <c r="K79" s="85">
        <f t="shared" si="3"/>
        <v>2135.3219999999997</v>
      </c>
      <c r="L79" s="74" t="str">
        <f t="shared" si="7"/>
        <v>RCC framed pillar beam column structure on RCC slab with RCC ROOF SLAB</v>
      </c>
    </row>
    <row r="80" spans="1:12" s="74" customFormat="1" ht="30" x14ac:dyDescent="0.25">
      <c r="A80" s="11">
        <v>76</v>
      </c>
      <c r="B80" s="77" t="s">
        <v>112</v>
      </c>
      <c r="C80" s="11">
        <v>1</v>
      </c>
      <c r="D80" s="8" t="s">
        <v>227</v>
      </c>
      <c r="E80" s="10">
        <f>3.1*3.328</f>
        <v>10.316800000000001</v>
      </c>
      <c r="F80" s="78">
        <v>1991</v>
      </c>
      <c r="G80" s="10">
        <f t="shared" si="6"/>
        <v>10.316800000000001</v>
      </c>
      <c r="H80" s="79" t="s">
        <v>228</v>
      </c>
      <c r="I80" s="11" t="s">
        <v>229</v>
      </c>
      <c r="J80" s="11">
        <v>612.45000000000005</v>
      </c>
      <c r="K80" s="85">
        <f t="shared" si="3"/>
        <v>6589.9620000000004</v>
      </c>
      <c r="L80" s="74" t="str">
        <f t="shared" si="7"/>
        <v>RCC framed pillar beam column structure on RCC slab with RCC ROOF SLAB</v>
      </c>
    </row>
    <row r="81" spans="1:12" s="74" customFormat="1" ht="30" x14ac:dyDescent="0.25">
      <c r="A81" s="11">
        <v>77</v>
      </c>
      <c r="B81" s="77" t="s">
        <v>113</v>
      </c>
      <c r="C81" s="11">
        <v>1</v>
      </c>
      <c r="D81" s="8" t="s">
        <v>227</v>
      </c>
      <c r="E81" s="10">
        <f>2.55*3.328</f>
        <v>8.4863999999999997</v>
      </c>
      <c r="F81" s="78">
        <v>1991</v>
      </c>
      <c r="G81" s="10">
        <f>E81</f>
        <v>8.4863999999999997</v>
      </c>
      <c r="H81" s="79" t="s">
        <v>228</v>
      </c>
      <c r="I81" s="11" t="s">
        <v>229</v>
      </c>
      <c r="J81" s="11">
        <v>8.36</v>
      </c>
      <c r="K81" s="85">
        <f t="shared" si="3"/>
        <v>89.953599999999994</v>
      </c>
      <c r="L81" s="74" t="str">
        <f t="shared" si="7"/>
        <v>RCC framed pillar beam column structure on RCC slab with RCC ROOF SLAB</v>
      </c>
    </row>
    <row r="82" spans="1:12" s="74" customFormat="1" ht="30" x14ac:dyDescent="0.25">
      <c r="A82" s="11">
        <v>78</v>
      </c>
      <c r="B82" s="77" t="s">
        <v>114</v>
      </c>
      <c r="C82" s="11">
        <v>1</v>
      </c>
      <c r="D82" s="8" t="s">
        <v>227</v>
      </c>
      <c r="E82" s="10">
        <f>3.5*3.328</f>
        <v>11.648</v>
      </c>
      <c r="F82" s="78">
        <v>1991</v>
      </c>
      <c r="G82" s="11">
        <v>12</v>
      </c>
      <c r="H82" s="79" t="s">
        <v>228</v>
      </c>
      <c r="I82" s="11" t="s">
        <v>229</v>
      </c>
      <c r="J82" s="11">
        <v>319.92</v>
      </c>
      <c r="K82" s="85">
        <f t="shared" si="3"/>
        <v>3442.3391999999999</v>
      </c>
      <c r="L82" s="74" t="str">
        <f t="shared" si="7"/>
        <v>RCC framed pillar beam column structure on RCC slab with RCC ROOF SLAB</v>
      </c>
    </row>
    <row r="83" spans="1:12" s="74" customFormat="1" ht="30" x14ac:dyDescent="0.25">
      <c r="A83" s="11">
        <v>79</v>
      </c>
      <c r="B83" s="77" t="s">
        <v>115</v>
      </c>
      <c r="C83" s="11">
        <v>1</v>
      </c>
      <c r="D83" s="8" t="s">
        <v>227</v>
      </c>
      <c r="E83" s="10">
        <f>4.4*3.328</f>
        <v>14.6432</v>
      </c>
      <c r="F83" s="78">
        <v>1991</v>
      </c>
      <c r="G83" s="11">
        <v>15</v>
      </c>
      <c r="H83" s="79" t="s">
        <v>228</v>
      </c>
      <c r="I83" s="11" t="s">
        <v>229</v>
      </c>
      <c r="J83" s="11">
        <v>654.96</v>
      </c>
      <c r="K83" s="85">
        <f t="shared" si="3"/>
        <v>7047.3696</v>
      </c>
      <c r="L83" s="74" t="str">
        <f t="shared" si="7"/>
        <v>RCC framed pillar beam column structure on RCC slab with RCC ROOF SLAB</v>
      </c>
    </row>
    <row r="84" spans="1:12" s="74" customFormat="1" ht="30" x14ac:dyDescent="0.25">
      <c r="A84" s="11">
        <v>80</v>
      </c>
      <c r="B84" s="80" t="s">
        <v>116</v>
      </c>
      <c r="C84" s="11">
        <v>1</v>
      </c>
      <c r="D84" s="8" t="s">
        <v>227</v>
      </c>
      <c r="E84" s="11">
        <v>4.5</v>
      </c>
      <c r="F84" s="78">
        <v>1991</v>
      </c>
      <c r="G84" s="10">
        <f>4.5*3.328</f>
        <v>14.975999999999999</v>
      </c>
      <c r="H84" s="79" t="s">
        <v>228</v>
      </c>
      <c r="I84" s="11" t="s">
        <v>229</v>
      </c>
      <c r="J84" s="11">
        <v>754</v>
      </c>
      <c r="K84" s="85">
        <f t="shared" si="3"/>
        <v>8113.04</v>
      </c>
      <c r="L84" s="74" t="str">
        <f t="shared" si="7"/>
        <v>RCC framed pillar beam column structure on RCC slab with RCC ROOF SLAB</v>
      </c>
    </row>
    <row r="85" spans="1:12" s="74" customFormat="1" ht="45" x14ac:dyDescent="0.25">
      <c r="A85" s="11">
        <v>81</v>
      </c>
      <c r="B85" s="80" t="s">
        <v>117</v>
      </c>
      <c r="C85" s="11">
        <v>0</v>
      </c>
      <c r="D85" s="8" t="s">
        <v>230</v>
      </c>
      <c r="E85" s="11">
        <v>4.5</v>
      </c>
      <c r="F85" s="78">
        <v>1991</v>
      </c>
      <c r="G85" s="10">
        <f>4.5*3.328</f>
        <v>14.975999999999999</v>
      </c>
      <c r="H85" s="80" t="s">
        <v>246</v>
      </c>
      <c r="I85" s="11" t="s">
        <v>229</v>
      </c>
      <c r="J85" s="11">
        <v>754</v>
      </c>
      <c r="K85" s="85">
        <f t="shared" si="3"/>
        <v>8113.04</v>
      </c>
      <c r="L85" s="74" t="str">
        <f t="shared" si="7"/>
        <v>Galvalume sheet roofed building mounted on steel trusses resting on RCC column &amp; Wall with GALVALUME ROOFING SHED</v>
      </c>
    </row>
    <row r="86" spans="1:12" s="74" customFormat="1" ht="30" x14ac:dyDescent="0.25">
      <c r="A86" s="11">
        <v>82</v>
      </c>
      <c r="B86" s="80" t="s">
        <v>118</v>
      </c>
      <c r="C86" s="11">
        <v>0</v>
      </c>
      <c r="D86" s="11" t="s">
        <v>241</v>
      </c>
      <c r="E86" s="10">
        <f>4*3.328</f>
        <v>13.311999999999999</v>
      </c>
      <c r="F86" s="78">
        <v>1991</v>
      </c>
      <c r="G86" s="10">
        <f>E86</f>
        <v>13.311999999999999</v>
      </c>
      <c r="H86" s="77" t="s">
        <v>242</v>
      </c>
      <c r="I86" s="11" t="s">
        <v>229</v>
      </c>
      <c r="J86" s="11">
        <v>290</v>
      </c>
      <c r="K86" s="85">
        <f t="shared" si="3"/>
        <v>3120.4</v>
      </c>
      <c r="L86" s="74" t="str">
        <f t="shared" si="7"/>
        <v>Open Yard with YARD</v>
      </c>
    </row>
    <row r="87" spans="1:12" s="74" customFormat="1" x14ac:dyDescent="0.25">
      <c r="A87" s="11">
        <v>83</v>
      </c>
      <c r="B87" s="77" t="s">
        <v>119</v>
      </c>
      <c r="C87" s="11">
        <v>0</v>
      </c>
      <c r="D87" s="11" t="s">
        <v>241</v>
      </c>
      <c r="E87" s="11">
        <v>15</v>
      </c>
      <c r="F87" s="78">
        <v>1991</v>
      </c>
      <c r="G87" s="10">
        <f t="shared" ref="G87:G93" si="8">E87</f>
        <v>15</v>
      </c>
      <c r="H87" s="77" t="s">
        <v>242</v>
      </c>
      <c r="I87" s="11" t="s">
        <v>229</v>
      </c>
      <c r="J87" s="11">
        <v>240.4</v>
      </c>
      <c r="K87" s="85">
        <f t="shared" ref="K87:K119" si="9">J87*10.76</f>
        <v>2586.7040000000002</v>
      </c>
      <c r="L87" s="74" t="str">
        <f t="shared" si="7"/>
        <v>Open Yard with YARD</v>
      </c>
    </row>
    <row r="88" spans="1:12" s="74" customFormat="1" x14ac:dyDescent="0.25">
      <c r="A88" s="11">
        <v>84</v>
      </c>
      <c r="B88" s="77" t="s">
        <v>120</v>
      </c>
      <c r="C88" s="11">
        <v>0</v>
      </c>
      <c r="D88" s="11" t="s">
        <v>241</v>
      </c>
      <c r="E88" s="10">
        <v>0</v>
      </c>
      <c r="F88" s="78">
        <v>1991</v>
      </c>
      <c r="G88" s="10">
        <f t="shared" si="8"/>
        <v>0</v>
      </c>
      <c r="H88" s="77" t="s">
        <v>242</v>
      </c>
      <c r="I88" s="11" t="s">
        <v>229</v>
      </c>
      <c r="J88" s="11">
        <v>20.02</v>
      </c>
      <c r="K88" s="85">
        <f t="shared" si="9"/>
        <v>215.4152</v>
      </c>
      <c r="L88" s="74" t="str">
        <f t="shared" si="7"/>
        <v>Open Yard with YARD</v>
      </c>
    </row>
    <row r="89" spans="1:12" s="74" customFormat="1" ht="30" x14ac:dyDescent="0.25">
      <c r="A89" s="11">
        <v>85</v>
      </c>
      <c r="B89" s="77" t="s">
        <v>121</v>
      </c>
      <c r="C89" s="11">
        <v>1</v>
      </c>
      <c r="D89" s="8" t="s">
        <v>227</v>
      </c>
      <c r="E89" s="10">
        <f>5*3.328</f>
        <v>16.64</v>
      </c>
      <c r="F89" s="78">
        <v>1991</v>
      </c>
      <c r="G89" s="11">
        <v>15</v>
      </c>
      <c r="H89" s="79" t="s">
        <v>228</v>
      </c>
      <c r="I89" s="11" t="s">
        <v>229</v>
      </c>
      <c r="J89" s="11">
        <f>10*5.5</f>
        <v>55</v>
      </c>
      <c r="K89" s="85">
        <f t="shared" si="9"/>
        <v>591.79999999999995</v>
      </c>
      <c r="L89" s="74" t="str">
        <f t="shared" si="7"/>
        <v>RCC framed pillar beam column structure on RCC slab with RCC ROOF SLAB</v>
      </c>
    </row>
    <row r="90" spans="1:12" s="74" customFormat="1" x14ac:dyDescent="0.25">
      <c r="A90" s="11">
        <v>86</v>
      </c>
      <c r="B90" s="77" t="s">
        <v>122</v>
      </c>
      <c r="C90" s="11">
        <v>0</v>
      </c>
      <c r="D90" s="11" t="s">
        <v>241</v>
      </c>
      <c r="E90" s="10">
        <v>0</v>
      </c>
      <c r="F90" s="78">
        <v>1991</v>
      </c>
      <c r="G90" s="10">
        <f t="shared" si="8"/>
        <v>0</v>
      </c>
      <c r="H90" s="77" t="s">
        <v>247</v>
      </c>
      <c r="I90" s="11" t="s">
        <v>229</v>
      </c>
      <c r="J90" s="11">
        <v>2217.46</v>
      </c>
      <c r="K90" s="85">
        <f t="shared" si="9"/>
        <v>23859.869599999998</v>
      </c>
      <c r="L90" s="74" t="str">
        <f t="shared" si="7"/>
        <v>Open Yard, Structure RC Flooring with YARD</v>
      </c>
    </row>
    <row r="91" spans="1:12" s="74" customFormat="1" x14ac:dyDescent="0.25">
      <c r="A91" s="11">
        <v>87</v>
      </c>
      <c r="B91" s="77" t="s">
        <v>123</v>
      </c>
      <c r="C91" s="11">
        <v>0</v>
      </c>
      <c r="D91" s="11" t="s">
        <v>241</v>
      </c>
      <c r="E91" s="10">
        <f>18.5*3.328</f>
        <v>61.567999999999998</v>
      </c>
      <c r="F91" s="78">
        <v>1991</v>
      </c>
      <c r="G91" s="10">
        <f t="shared" si="8"/>
        <v>61.567999999999998</v>
      </c>
      <c r="H91" s="77" t="s">
        <v>247</v>
      </c>
      <c r="I91" s="11" t="s">
        <v>229</v>
      </c>
      <c r="J91" s="11">
        <v>105.06</v>
      </c>
      <c r="K91" s="85">
        <f t="shared" si="9"/>
        <v>1130.4456</v>
      </c>
      <c r="L91" s="74" t="str">
        <f t="shared" si="7"/>
        <v>Open Yard, Structure RC Flooring with YARD</v>
      </c>
    </row>
    <row r="92" spans="1:12" s="74" customFormat="1" x14ac:dyDescent="0.25">
      <c r="A92" s="11">
        <v>88</v>
      </c>
      <c r="B92" s="77" t="s">
        <v>124</v>
      </c>
      <c r="C92" s="11">
        <v>0</v>
      </c>
      <c r="D92" s="11" t="s">
        <v>241</v>
      </c>
      <c r="E92" s="10">
        <f>18.5*3.328</f>
        <v>61.567999999999998</v>
      </c>
      <c r="F92" s="78">
        <v>2019</v>
      </c>
      <c r="G92" s="10">
        <f t="shared" si="8"/>
        <v>61.567999999999998</v>
      </c>
      <c r="H92" s="77" t="s">
        <v>247</v>
      </c>
      <c r="I92" s="11" t="s">
        <v>229</v>
      </c>
      <c r="J92" s="11">
        <v>105.06</v>
      </c>
      <c r="K92" s="85">
        <f t="shared" si="9"/>
        <v>1130.4456</v>
      </c>
      <c r="L92" s="74" t="str">
        <f t="shared" si="7"/>
        <v>Open Yard, Structure RC Flooring with YARD</v>
      </c>
    </row>
    <row r="93" spans="1:12" s="74" customFormat="1" x14ac:dyDescent="0.25">
      <c r="A93" s="11">
        <v>89</v>
      </c>
      <c r="B93" s="77" t="s">
        <v>125</v>
      </c>
      <c r="C93" s="11">
        <v>2</v>
      </c>
      <c r="D93" s="11" t="s">
        <v>241</v>
      </c>
      <c r="E93" s="10">
        <f>28*3.328</f>
        <v>93.183999999999997</v>
      </c>
      <c r="F93" s="78">
        <v>1991</v>
      </c>
      <c r="G93" s="10">
        <f t="shared" si="8"/>
        <v>93.183999999999997</v>
      </c>
      <c r="H93" s="77" t="s">
        <v>247</v>
      </c>
      <c r="I93" s="11" t="s">
        <v>229</v>
      </c>
      <c r="J93" s="11">
        <v>8.65</v>
      </c>
      <c r="K93" s="85">
        <f t="shared" si="9"/>
        <v>93.073999999999998</v>
      </c>
      <c r="L93" s="74" t="str">
        <f t="shared" si="7"/>
        <v>Open Yard, Structure RC Flooring with YARD</v>
      </c>
    </row>
    <row r="94" spans="1:12" s="74" customFormat="1" x14ac:dyDescent="0.25">
      <c r="A94" s="11">
        <v>90</v>
      </c>
      <c r="B94" s="77" t="s">
        <v>126</v>
      </c>
      <c r="C94" s="11">
        <v>1</v>
      </c>
      <c r="D94" s="11" t="s">
        <v>241</v>
      </c>
      <c r="E94" s="10">
        <f>4.5*3.328</f>
        <v>14.975999999999999</v>
      </c>
      <c r="F94" s="78">
        <v>1991</v>
      </c>
      <c r="G94" s="10">
        <f>E94</f>
        <v>14.975999999999999</v>
      </c>
      <c r="H94" s="77" t="s">
        <v>247</v>
      </c>
      <c r="I94" s="11" t="s">
        <v>229</v>
      </c>
      <c r="J94" s="11">
        <f>10*10</f>
        <v>100</v>
      </c>
      <c r="K94" s="85">
        <f t="shared" si="9"/>
        <v>1076</v>
      </c>
      <c r="L94" s="74" t="str">
        <f t="shared" si="7"/>
        <v>Open Yard, Structure RC Flooring with YARD</v>
      </c>
    </row>
    <row r="95" spans="1:12" s="74" customFormat="1" ht="30" x14ac:dyDescent="0.25">
      <c r="A95" s="11">
        <v>91</v>
      </c>
      <c r="B95" s="77" t="s">
        <v>127</v>
      </c>
      <c r="C95" s="11">
        <v>1</v>
      </c>
      <c r="D95" s="11" t="s">
        <v>241</v>
      </c>
      <c r="E95" s="10">
        <f>10*3.328</f>
        <v>33.28</v>
      </c>
      <c r="F95" s="78">
        <v>1991</v>
      </c>
      <c r="G95" s="10">
        <f t="shared" ref="G95" si="10">E95</f>
        <v>33.28</v>
      </c>
      <c r="H95" s="80" t="s">
        <v>246</v>
      </c>
      <c r="I95" s="11" t="s">
        <v>229</v>
      </c>
      <c r="J95" s="11">
        <v>45.55</v>
      </c>
      <c r="K95" s="85">
        <f t="shared" si="9"/>
        <v>490.11799999999994</v>
      </c>
      <c r="L95" s="74" t="str">
        <f t="shared" si="7"/>
        <v>Galvalume sheet roofed building mounted on steel trusses resting on RCC column &amp; Wall with YARD</v>
      </c>
    </row>
    <row r="96" spans="1:12" s="74" customFormat="1" ht="30" x14ac:dyDescent="0.25">
      <c r="A96" s="11">
        <v>92</v>
      </c>
      <c r="B96" s="77" t="s">
        <v>128</v>
      </c>
      <c r="C96" s="11">
        <v>1</v>
      </c>
      <c r="D96" s="8" t="s">
        <v>227</v>
      </c>
      <c r="E96" s="10">
        <f>3.5*3.328</f>
        <v>11.648</v>
      </c>
      <c r="F96" s="78">
        <v>1991</v>
      </c>
      <c r="G96" s="10">
        <f>E96</f>
        <v>11.648</v>
      </c>
      <c r="H96" s="79" t="s">
        <v>228</v>
      </c>
      <c r="I96" s="11" t="s">
        <v>229</v>
      </c>
      <c r="J96" s="11">
        <v>265.16000000000003</v>
      </c>
      <c r="K96" s="85">
        <f t="shared" si="9"/>
        <v>2853.1216000000004</v>
      </c>
      <c r="L96" s="74" t="str">
        <f t="shared" si="7"/>
        <v>RCC framed pillar beam column structure on RCC slab with RCC ROOF SLAB</v>
      </c>
    </row>
    <row r="97" spans="1:12" s="74" customFormat="1" ht="45" x14ac:dyDescent="0.25">
      <c r="A97" s="11">
        <v>93</v>
      </c>
      <c r="B97" s="77" t="s">
        <v>129</v>
      </c>
      <c r="C97" s="11">
        <v>1</v>
      </c>
      <c r="D97" s="8" t="s">
        <v>243</v>
      </c>
      <c r="E97" s="10">
        <f>3*3.328</f>
        <v>9.984</v>
      </c>
      <c r="F97" s="78">
        <v>1991</v>
      </c>
      <c r="G97" s="10">
        <f t="shared" ref="G97:G101" si="11">E97</f>
        <v>9.984</v>
      </c>
      <c r="H97" s="80" t="s">
        <v>248</v>
      </c>
      <c r="I97" s="11" t="s">
        <v>229</v>
      </c>
      <c r="J97" s="11">
        <f>27*2.85</f>
        <v>76.95</v>
      </c>
      <c r="K97" s="85">
        <f t="shared" si="9"/>
        <v>827.98199999999997</v>
      </c>
      <c r="L97" s="74" t="str">
        <f t="shared" si="7"/>
        <v>GI &amp; Asbestos sheet roofed building mounted on steel trusses resting on RCC column &amp; Wall with ASBESTOS ROOFING SHED</v>
      </c>
    </row>
    <row r="98" spans="1:12" s="74" customFormat="1" x14ac:dyDescent="0.25">
      <c r="A98" s="11">
        <v>94</v>
      </c>
      <c r="B98" s="77" t="s">
        <v>130</v>
      </c>
      <c r="C98" s="11">
        <v>1</v>
      </c>
      <c r="D98" s="11" t="s">
        <v>241</v>
      </c>
      <c r="E98" s="10">
        <f>3*3.328</f>
        <v>9.984</v>
      </c>
      <c r="F98" s="78">
        <v>1991</v>
      </c>
      <c r="G98" s="10">
        <f t="shared" si="11"/>
        <v>9.984</v>
      </c>
      <c r="H98" s="77" t="s">
        <v>242</v>
      </c>
      <c r="I98" s="11" t="s">
        <v>229</v>
      </c>
      <c r="J98" s="11">
        <v>743</v>
      </c>
      <c r="K98" s="85">
        <f t="shared" si="9"/>
        <v>7994.68</v>
      </c>
      <c r="L98" s="74" t="str">
        <f t="shared" si="7"/>
        <v>Open Yard with YARD</v>
      </c>
    </row>
    <row r="99" spans="1:12" s="74" customFormat="1" x14ac:dyDescent="0.25">
      <c r="A99" s="11">
        <v>95</v>
      </c>
      <c r="B99" s="81" t="s">
        <v>131</v>
      </c>
      <c r="C99" s="11">
        <v>1</v>
      </c>
      <c r="D99" s="11" t="s">
        <v>241</v>
      </c>
      <c r="E99" s="10">
        <f>60*3.328</f>
        <v>199.67999999999998</v>
      </c>
      <c r="F99" s="78">
        <v>1991</v>
      </c>
      <c r="G99" s="10">
        <f t="shared" si="11"/>
        <v>199.67999999999998</v>
      </c>
      <c r="H99" s="77" t="s">
        <v>242</v>
      </c>
      <c r="I99" s="11" t="s">
        <v>229</v>
      </c>
      <c r="J99" s="11">
        <v>7.18</v>
      </c>
      <c r="K99" s="85">
        <f t="shared" si="9"/>
        <v>77.256799999999998</v>
      </c>
      <c r="L99" s="74" t="str">
        <f t="shared" si="7"/>
        <v>Open Yard with YARD</v>
      </c>
    </row>
    <row r="100" spans="1:12" s="74" customFormat="1" x14ac:dyDescent="0.25">
      <c r="A100" s="11">
        <v>96</v>
      </c>
      <c r="B100" s="81" t="s">
        <v>132</v>
      </c>
      <c r="C100" s="11">
        <v>1</v>
      </c>
      <c r="D100" s="11" t="s">
        <v>241</v>
      </c>
      <c r="E100" s="10">
        <f>60*3.328</f>
        <v>199.67999999999998</v>
      </c>
      <c r="F100" s="78">
        <v>1991</v>
      </c>
      <c r="G100" s="10">
        <f t="shared" si="11"/>
        <v>199.67999999999998</v>
      </c>
      <c r="H100" s="77" t="s">
        <v>242</v>
      </c>
      <c r="I100" s="11" t="s">
        <v>229</v>
      </c>
      <c r="J100" s="11">
        <v>15.75</v>
      </c>
      <c r="K100" s="85">
        <f t="shared" si="9"/>
        <v>169.47</v>
      </c>
      <c r="L100" s="74" t="str">
        <f t="shared" si="7"/>
        <v>Open Yard with YARD</v>
      </c>
    </row>
    <row r="101" spans="1:12" s="74" customFormat="1" ht="30" x14ac:dyDescent="0.25">
      <c r="A101" s="11">
        <v>97</v>
      </c>
      <c r="B101" s="81" t="s">
        <v>133</v>
      </c>
      <c r="C101" s="11">
        <v>1</v>
      </c>
      <c r="D101" s="8" t="s">
        <v>227</v>
      </c>
      <c r="E101" s="10">
        <f>4*3.328</f>
        <v>13.311999999999999</v>
      </c>
      <c r="F101" s="78">
        <v>1991</v>
      </c>
      <c r="G101" s="10">
        <f t="shared" si="11"/>
        <v>13.311999999999999</v>
      </c>
      <c r="H101" s="79" t="s">
        <v>228</v>
      </c>
      <c r="I101" s="11" t="s">
        <v>229</v>
      </c>
      <c r="J101" s="11">
        <v>1540</v>
      </c>
      <c r="K101" s="85">
        <f t="shared" si="9"/>
        <v>16570.400000000001</v>
      </c>
      <c r="L101" s="74" t="str">
        <f t="shared" si="7"/>
        <v>RCC framed pillar beam column structure on RCC slab with RCC ROOF SLAB</v>
      </c>
    </row>
    <row r="102" spans="1:12" s="74" customFormat="1" ht="30" x14ac:dyDescent="0.25">
      <c r="A102" s="11">
        <v>98</v>
      </c>
      <c r="B102" s="77" t="s">
        <v>134</v>
      </c>
      <c r="C102" s="11">
        <v>1</v>
      </c>
      <c r="D102" s="8" t="s">
        <v>227</v>
      </c>
      <c r="E102" s="10">
        <f>7*3.328</f>
        <v>23.295999999999999</v>
      </c>
      <c r="F102" s="78">
        <v>1991</v>
      </c>
      <c r="G102" s="10">
        <f>E102</f>
        <v>23.295999999999999</v>
      </c>
      <c r="H102" s="79" t="s">
        <v>228</v>
      </c>
      <c r="I102" s="11" t="s">
        <v>245</v>
      </c>
      <c r="J102" s="11">
        <f>49*7</f>
        <v>343</v>
      </c>
      <c r="K102" s="85">
        <f t="shared" si="9"/>
        <v>3690.68</v>
      </c>
      <c r="L102" s="74" t="str">
        <f t="shared" si="7"/>
        <v>RCC framed pillar beam column structure on RCC slab with RCC ROOF SLAB</v>
      </c>
    </row>
    <row r="103" spans="1:12" s="74" customFormat="1" ht="45" x14ac:dyDescent="0.25">
      <c r="A103" s="11">
        <v>99</v>
      </c>
      <c r="B103" s="77" t="s">
        <v>135</v>
      </c>
      <c r="C103" s="11">
        <v>1</v>
      </c>
      <c r="D103" s="8" t="s">
        <v>243</v>
      </c>
      <c r="E103" s="10">
        <f>14*3.328</f>
        <v>46.591999999999999</v>
      </c>
      <c r="F103" s="78">
        <v>1991</v>
      </c>
      <c r="G103" s="10">
        <f t="shared" ref="G103:G124" si="12">E103</f>
        <v>46.591999999999999</v>
      </c>
      <c r="H103" s="80" t="s">
        <v>244</v>
      </c>
      <c r="I103" s="11" t="s">
        <v>245</v>
      </c>
      <c r="J103" s="11">
        <f>49*14</f>
        <v>686</v>
      </c>
      <c r="K103" s="85">
        <f t="shared" si="9"/>
        <v>7381.36</v>
      </c>
      <c r="L103" s="74" t="str">
        <f t="shared" si="7"/>
        <v>Asbestos sheet roofed building mounted on steel trusses resting on RCC column &amp; Brick Wall with ASBESTOS ROOFING SHED</v>
      </c>
    </row>
    <row r="104" spans="1:12" s="74" customFormat="1" x14ac:dyDescent="0.25">
      <c r="A104" s="11">
        <v>100</v>
      </c>
      <c r="B104" s="79" t="s">
        <v>136</v>
      </c>
      <c r="C104" s="11">
        <v>0</v>
      </c>
      <c r="D104" s="11" t="s">
        <v>241</v>
      </c>
      <c r="E104" s="10">
        <f>(3+6)*3.328</f>
        <v>29.951999999999998</v>
      </c>
      <c r="F104" s="78">
        <v>1991</v>
      </c>
      <c r="G104" s="10">
        <f t="shared" si="12"/>
        <v>29.951999999999998</v>
      </c>
      <c r="H104" s="77" t="s">
        <v>242</v>
      </c>
      <c r="I104" s="11" t="s">
        <v>229</v>
      </c>
      <c r="J104" s="11">
        <v>300</v>
      </c>
      <c r="K104" s="85">
        <f t="shared" si="9"/>
        <v>3228</v>
      </c>
      <c r="L104" s="74" t="str">
        <f t="shared" si="7"/>
        <v>Open Yard with YARD</v>
      </c>
    </row>
    <row r="105" spans="1:12" s="74" customFormat="1" ht="30" x14ac:dyDescent="0.25">
      <c r="A105" s="11">
        <v>101</v>
      </c>
      <c r="B105" s="82" t="s">
        <v>137</v>
      </c>
      <c r="C105" s="11">
        <v>1</v>
      </c>
      <c r="D105" s="8" t="s">
        <v>227</v>
      </c>
      <c r="E105" s="10">
        <f>4.5*3.328</f>
        <v>14.975999999999999</v>
      </c>
      <c r="F105" s="78">
        <v>1991</v>
      </c>
      <c r="G105" s="10">
        <f t="shared" si="12"/>
        <v>14.975999999999999</v>
      </c>
      <c r="H105" s="79" t="s">
        <v>228</v>
      </c>
      <c r="I105" s="11" t="s">
        <v>229</v>
      </c>
      <c r="J105" s="11">
        <f>15*7</f>
        <v>105</v>
      </c>
      <c r="K105" s="85">
        <f t="shared" si="9"/>
        <v>1129.8</v>
      </c>
      <c r="L105" s="74" t="str">
        <f t="shared" si="7"/>
        <v>RCC framed pillar beam column structure on RCC slab with RCC ROOF SLAB</v>
      </c>
    </row>
    <row r="106" spans="1:12" s="74" customFormat="1" ht="30" x14ac:dyDescent="0.25">
      <c r="A106" s="11">
        <v>102</v>
      </c>
      <c r="B106" s="82" t="s">
        <v>138</v>
      </c>
      <c r="C106" s="11">
        <v>1</v>
      </c>
      <c r="D106" s="8" t="s">
        <v>227</v>
      </c>
      <c r="E106" s="10">
        <f>5*3.328</f>
        <v>16.64</v>
      </c>
      <c r="F106" s="78">
        <v>1991</v>
      </c>
      <c r="G106" s="10">
        <f t="shared" si="12"/>
        <v>16.64</v>
      </c>
      <c r="H106" s="79" t="s">
        <v>228</v>
      </c>
      <c r="I106" s="11" t="s">
        <v>229</v>
      </c>
      <c r="J106" s="11">
        <f>15*7</f>
        <v>105</v>
      </c>
      <c r="K106" s="85">
        <f t="shared" si="9"/>
        <v>1129.8</v>
      </c>
      <c r="L106" s="74" t="str">
        <f t="shared" si="7"/>
        <v>RCC framed pillar beam column structure on RCC slab with RCC ROOF SLAB</v>
      </c>
    </row>
    <row r="107" spans="1:12" s="74" customFormat="1" x14ac:dyDescent="0.25">
      <c r="A107" s="11">
        <v>103</v>
      </c>
      <c r="B107" s="81" t="s">
        <v>139</v>
      </c>
      <c r="C107" s="11">
        <v>0</v>
      </c>
      <c r="D107" s="11" t="s">
        <v>241</v>
      </c>
      <c r="E107" s="10">
        <f>60*3.328</f>
        <v>199.67999999999998</v>
      </c>
      <c r="F107" s="78">
        <v>1991</v>
      </c>
      <c r="G107" s="10">
        <f t="shared" si="12"/>
        <v>199.67999999999998</v>
      </c>
      <c r="H107" s="77" t="s">
        <v>242</v>
      </c>
      <c r="I107" s="11" t="s">
        <v>229</v>
      </c>
      <c r="J107" s="11">
        <v>20</v>
      </c>
      <c r="K107" s="85">
        <f t="shared" si="9"/>
        <v>215.2</v>
      </c>
      <c r="L107" s="74" t="str">
        <f t="shared" si="7"/>
        <v>Open Yard with YARD</v>
      </c>
    </row>
    <row r="108" spans="1:12" s="74" customFormat="1" ht="30" x14ac:dyDescent="0.25">
      <c r="A108" s="11">
        <v>104</v>
      </c>
      <c r="B108" s="81" t="s">
        <v>140</v>
      </c>
      <c r="C108" s="11">
        <v>2</v>
      </c>
      <c r="D108" s="8" t="s">
        <v>227</v>
      </c>
      <c r="E108" s="10">
        <f>16*3.328</f>
        <v>53.247999999999998</v>
      </c>
      <c r="F108" s="78">
        <v>1991</v>
      </c>
      <c r="G108" s="10">
        <f t="shared" si="12"/>
        <v>53.247999999999998</v>
      </c>
      <c r="H108" s="79" t="s">
        <v>228</v>
      </c>
      <c r="I108" s="11" t="s">
        <v>229</v>
      </c>
      <c r="J108" s="11">
        <v>1044</v>
      </c>
      <c r="K108" s="85">
        <f t="shared" si="9"/>
        <v>11233.44</v>
      </c>
      <c r="L108" s="74" t="str">
        <f t="shared" si="7"/>
        <v>RCC framed pillar beam column structure on RCC slab with RCC ROOF SLAB</v>
      </c>
    </row>
    <row r="109" spans="1:12" s="74" customFormat="1" ht="30" x14ac:dyDescent="0.25">
      <c r="A109" s="11">
        <v>105</v>
      </c>
      <c r="B109" s="81" t="s">
        <v>141</v>
      </c>
      <c r="C109" s="11">
        <v>1</v>
      </c>
      <c r="D109" s="8" t="s">
        <v>227</v>
      </c>
      <c r="E109" s="10">
        <f>7.5*3.328</f>
        <v>24.959999999999997</v>
      </c>
      <c r="F109" s="78">
        <v>1991</v>
      </c>
      <c r="G109" s="10">
        <f t="shared" si="12"/>
        <v>24.959999999999997</v>
      </c>
      <c r="H109" s="79" t="s">
        <v>228</v>
      </c>
      <c r="I109" s="11" t="s">
        <v>229</v>
      </c>
      <c r="J109" s="11">
        <f>1044-(12*11)</f>
        <v>912</v>
      </c>
      <c r="K109" s="85">
        <f t="shared" si="9"/>
        <v>9813.119999999999</v>
      </c>
      <c r="L109" s="74" t="str">
        <f t="shared" si="7"/>
        <v>RCC framed pillar beam column structure on RCC slab with RCC ROOF SLAB</v>
      </c>
    </row>
    <row r="110" spans="1:12" s="74" customFormat="1" x14ac:dyDescent="0.25">
      <c r="A110" s="11">
        <v>106</v>
      </c>
      <c r="B110" s="81" t="s">
        <v>142</v>
      </c>
      <c r="C110" s="11">
        <v>0</v>
      </c>
      <c r="D110" s="11" t="s">
        <v>241</v>
      </c>
      <c r="E110" s="10">
        <v>0</v>
      </c>
      <c r="F110" s="78">
        <v>1991</v>
      </c>
      <c r="G110" s="10">
        <f t="shared" si="12"/>
        <v>0</v>
      </c>
      <c r="H110" s="77" t="s">
        <v>242</v>
      </c>
      <c r="I110" s="11" t="s">
        <v>229</v>
      </c>
      <c r="J110" s="11">
        <v>273.62</v>
      </c>
      <c r="K110" s="85">
        <f t="shared" si="9"/>
        <v>2944.1511999999998</v>
      </c>
      <c r="L110" s="74" t="str">
        <f t="shared" si="7"/>
        <v>Open Yard with YARD</v>
      </c>
    </row>
    <row r="111" spans="1:12" s="74" customFormat="1" ht="45" x14ac:dyDescent="0.25">
      <c r="A111" s="11">
        <v>107</v>
      </c>
      <c r="B111" s="77" t="s">
        <v>143</v>
      </c>
      <c r="C111" s="11">
        <v>1</v>
      </c>
      <c r="D111" s="8" t="s">
        <v>243</v>
      </c>
      <c r="E111" s="10">
        <f>2.6*3.328</f>
        <v>8.6527999999999992</v>
      </c>
      <c r="F111" s="78">
        <v>1998</v>
      </c>
      <c r="G111" s="10">
        <f t="shared" si="12"/>
        <v>8.6527999999999992</v>
      </c>
      <c r="H111" s="80" t="s">
        <v>244</v>
      </c>
      <c r="I111" s="11" t="s">
        <v>229</v>
      </c>
      <c r="J111" s="11">
        <f>10*10</f>
        <v>100</v>
      </c>
      <c r="K111" s="85">
        <f t="shared" si="9"/>
        <v>1076</v>
      </c>
      <c r="L111" s="74" t="str">
        <f t="shared" si="7"/>
        <v>Asbestos sheet roofed building mounted on steel trusses resting on RCC column &amp; Brick Wall with ASBESTOS ROOFING SHED</v>
      </c>
    </row>
    <row r="112" spans="1:12" s="74" customFormat="1" ht="45" x14ac:dyDescent="0.25">
      <c r="A112" s="11">
        <v>108</v>
      </c>
      <c r="B112" s="77" t="s">
        <v>144</v>
      </c>
      <c r="C112" s="11">
        <v>1</v>
      </c>
      <c r="D112" s="8" t="s">
        <v>249</v>
      </c>
      <c r="E112" s="10">
        <f>3.5*3.328</f>
        <v>11.648</v>
      </c>
      <c r="F112" s="78">
        <v>2008</v>
      </c>
      <c r="G112" s="10">
        <f t="shared" si="12"/>
        <v>11.648</v>
      </c>
      <c r="H112" s="80" t="s">
        <v>250</v>
      </c>
      <c r="I112" s="11" t="s">
        <v>229</v>
      </c>
      <c r="J112" s="11">
        <v>414</v>
      </c>
      <c r="K112" s="85">
        <f t="shared" si="9"/>
        <v>4454.6400000000003</v>
      </c>
      <c r="L112" s="74" t="str">
        <f t="shared" si="7"/>
        <v>GI sheet roofed building mounted on steel trusses resting on Metallic Column &amp; Brick Wall with GI SHEET ROOFING SHED</v>
      </c>
    </row>
    <row r="113" spans="1:12" s="74" customFormat="1" ht="75" x14ac:dyDescent="0.25">
      <c r="A113" s="11">
        <v>109</v>
      </c>
      <c r="B113" s="81" t="s">
        <v>145</v>
      </c>
      <c r="C113" s="11">
        <v>1</v>
      </c>
      <c r="D113" s="8" t="s">
        <v>251</v>
      </c>
      <c r="E113" s="10">
        <f>4*3.328</f>
        <v>13.311999999999999</v>
      </c>
      <c r="F113" s="78">
        <v>1991</v>
      </c>
      <c r="G113" s="10">
        <f t="shared" si="12"/>
        <v>13.311999999999999</v>
      </c>
      <c r="H113" s="80" t="s">
        <v>252</v>
      </c>
      <c r="I113" s="11" t="s">
        <v>245</v>
      </c>
      <c r="J113" s="11">
        <v>225</v>
      </c>
      <c r="K113" s="85">
        <f t="shared" si="9"/>
        <v>2421</v>
      </c>
      <c r="L113" s="74" t="str">
        <f t="shared" si="7"/>
        <v>GI / Asbestos sheet roofed building mounted on steel trusses resting on Metallic Column &amp; Brick Wall with GI &amp; ASBESTOS SHEET ROOFING SHED</v>
      </c>
    </row>
    <row r="114" spans="1:12" s="74" customFormat="1" ht="60" x14ac:dyDescent="0.25">
      <c r="A114" s="11">
        <v>110</v>
      </c>
      <c r="B114" s="77" t="s">
        <v>146</v>
      </c>
      <c r="C114" s="11">
        <v>1</v>
      </c>
      <c r="D114" s="8" t="s">
        <v>253</v>
      </c>
      <c r="E114" s="10">
        <f>5*3.328</f>
        <v>16.64</v>
      </c>
      <c r="F114" s="78">
        <v>1991</v>
      </c>
      <c r="G114" s="10">
        <f t="shared" si="12"/>
        <v>16.64</v>
      </c>
      <c r="H114" s="80" t="s">
        <v>254</v>
      </c>
      <c r="I114" s="11" t="s">
        <v>229</v>
      </c>
      <c r="J114" s="11">
        <v>300</v>
      </c>
      <c r="K114" s="85">
        <f t="shared" si="9"/>
        <v>3228</v>
      </c>
      <c r="L114" s="74" t="str">
        <f t="shared" si="7"/>
        <v>Asbestos sheet roofed building mounted on steel trusses resting on Metallic Column &amp; Brick Wall with ASBESTOS SHEET ROOFING SHED</v>
      </c>
    </row>
    <row r="115" spans="1:12" s="74" customFormat="1" ht="60" x14ac:dyDescent="0.25">
      <c r="A115" s="11">
        <v>111</v>
      </c>
      <c r="B115" s="77" t="s">
        <v>147</v>
      </c>
      <c r="C115" s="11">
        <v>1</v>
      </c>
      <c r="D115" s="8" t="s">
        <v>255</v>
      </c>
      <c r="E115" s="10">
        <f>4*3.328</f>
        <v>13.311999999999999</v>
      </c>
      <c r="F115" s="78">
        <v>2012</v>
      </c>
      <c r="G115" s="10">
        <f t="shared" si="12"/>
        <v>13.311999999999999</v>
      </c>
      <c r="H115" s="80" t="s">
        <v>256</v>
      </c>
      <c r="I115" s="11" t="s">
        <v>229</v>
      </c>
      <c r="J115" s="11">
        <f>30*15</f>
        <v>450</v>
      </c>
      <c r="K115" s="85">
        <f t="shared" si="9"/>
        <v>4842</v>
      </c>
      <c r="L115" s="74" t="str">
        <f t="shared" si="7"/>
        <v>Galvalume sheet roofed building mounted on steel trusses resting on Metallic Column &amp; Brick Wall with GALVALUME SHEET ROOFING SHED</v>
      </c>
    </row>
    <row r="116" spans="1:12" s="74" customFormat="1" ht="15.75" thickBot="1" x14ac:dyDescent="0.3">
      <c r="A116" s="11">
        <v>112</v>
      </c>
      <c r="B116" s="86" t="s">
        <v>148</v>
      </c>
      <c r="C116" s="11">
        <v>0</v>
      </c>
      <c r="D116" s="11" t="s">
        <v>241</v>
      </c>
      <c r="E116" s="10">
        <v>0</v>
      </c>
      <c r="F116" s="78">
        <v>1991</v>
      </c>
      <c r="G116" s="10">
        <f>E116</f>
        <v>0</v>
      </c>
      <c r="H116" s="77" t="s">
        <v>257</v>
      </c>
      <c r="I116" s="11" t="s">
        <v>229</v>
      </c>
      <c r="J116" s="11">
        <v>350</v>
      </c>
      <c r="K116" s="85">
        <f t="shared" si="9"/>
        <v>3766</v>
      </c>
      <c r="L116" s="74" t="str">
        <f t="shared" si="7"/>
        <v>Open Yard, CAPACITY: 500.0 CUM/DAY with YARD</v>
      </c>
    </row>
    <row r="117" spans="1:12" s="74" customFormat="1" x14ac:dyDescent="0.25">
      <c r="A117" s="11">
        <v>113</v>
      </c>
      <c r="B117" s="87" t="s">
        <v>149</v>
      </c>
      <c r="C117" s="88">
        <v>0</v>
      </c>
      <c r="D117" s="88" t="s">
        <v>241</v>
      </c>
      <c r="E117" s="89">
        <v>0</v>
      </c>
      <c r="F117" s="90">
        <v>2014</v>
      </c>
      <c r="G117" s="89">
        <f>E117</f>
        <v>0</v>
      </c>
      <c r="H117" s="87" t="s">
        <v>258</v>
      </c>
      <c r="I117" s="88" t="s">
        <v>229</v>
      </c>
      <c r="J117" s="88">
        <f>25*11</f>
        <v>275</v>
      </c>
      <c r="K117" s="91">
        <f t="shared" si="9"/>
        <v>2959</v>
      </c>
      <c r="L117" s="74" t="str">
        <f t="shared" si="7"/>
        <v>Open Yard CAPACITY: 160 CUM./DAY with YARD</v>
      </c>
    </row>
    <row r="118" spans="1:12" s="74" customFormat="1" ht="30" x14ac:dyDescent="0.25">
      <c r="A118" s="11">
        <v>114</v>
      </c>
      <c r="B118" s="77" t="s">
        <v>150</v>
      </c>
      <c r="C118" s="11">
        <v>1</v>
      </c>
      <c r="D118" s="8" t="s">
        <v>227</v>
      </c>
      <c r="E118" s="10">
        <f>4*3.328</f>
        <v>13.311999999999999</v>
      </c>
      <c r="F118" s="78">
        <v>2019</v>
      </c>
      <c r="G118" s="10">
        <f t="shared" si="12"/>
        <v>13.311999999999999</v>
      </c>
      <c r="H118" s="79" t="s">
        <v>228</v>
      </c>
      <c r="I118" s="11" t="s">
        <v>229</v>
      </c>
      <c r="J118" s="11">
        <f>25*6</f>
        <v>150</v>
      </c>
      <c r="K118" s="85">
        <f t="shared" si="9"/>
        <v>1614</v>
      </c>
      <c r="L118" s="74" t="str">
        <f t="shared" si="7"/>
        <v>RCC framed pillar beam column structure on RCC slab with RCC ROOF SLAB</v>
      </c>
    </row>
    <row r="119" spans="1:12" s="74" customFormat="1" ht="30" x14ac:dyDescent="0.25">
      <c r="A119" s="11">
        <v>115</v>
      </c>
      <c r="B119" s="77" t="s">
        <v>151</v>
      </c>
      <c r="C119" s="11">
        <v>1</v>
      </c>
      <c r="D119" s="8" t="s">
        <v>227</v>
      </c>
      <c r="E119" s="10">
        <f>6.5*3.328</f>
        <v>21.631999999999998</v>
      </c>
      <c r="F119" s="78">
        <v>2019</v>
      </c>
      <c r="G119" s="10">
        <f t="shared" si="12"/>
        <v>21.631999999999998</v>
      </c>
      <c r="H119" s="79" t="s">
        <v>228</v>
      </c>
      <c r="I119" s="11" t="s">
        <v>229</v>
      </c>
      <c r="J119" s="11">
        <f>25*6</f>
        <v>150</v>
      </c>
      <c r="K119" s="85">
        <f t="shared" si="9"/>
        <v>1614</v>
      </c>
      <c r="L119" s="74" t="str">
        <f t="shared" si="7"/>
        <v>RCC framed pillar beam column structure on RCC slab with RCC ROOF SLAB</v>
      </c>
    </row>
    <row r="120" spans="1:12" s="74" customFormat="1" ht="45" x14ac:dyDescent="0.25">
      <c r="A120" s="11">
        <v>116</v>
      </c>
      <c r="B120" s="83" t="s">
        <v>152</v>
      </c>
      <c r="C120" s="11">
        <v>1</v>
      </c>
      <c r="D120" s="8" t="s">
        <v>230</v>
      </c>
      <c r="E120" s="10">
        <f>8.5*3.328</f>
        <v>28.288</v>
      </c>
      <c r="F120" s="78">
        <v>2022</v>
      </c>
      <c r="G120" s="10">
        <f t="shared" si="12"/>
        <v>28.288</v>
      </c>
      <c r="H120" s="80" t="s">
        <v>256</v>
      </c>
      <c r="I120" s="11" t="s">
        <v>229</v>
      </c>
      <c r="J120" s="11">
        <f>60*30</f>
        <v>1800</v>
      </c>
      <c r="K120" s="11">
        <f>J120*10.76</f>
        <v>19368</v>
      </c>
      <c r="L120" s="74" t="str">
        <f t="shared" si="7"/>
        <v>Galvalume sheet roofed building mounted on steel trusses resting on Metallic Column &amp; Brick Wall with GALVALUME ROOFING SHED</v>
      </c>
    </row>
    <row r="121" spans="1:12" s="74" customFormat="1" ht="45" x14ac:dyDescent="0.25">
      <c r="A121" s="11">
        <v>117</v>
      </c>
      <c r="B121" s="83" t="s">
        <v>153</v>
      </c>
      <c r="C121" s="11">
        <v>1</v>
      </c>
      <c r="D121" s="8" t="s">
        <v>230</v>
      </c>
      <c r="E121" s="10">
        <f>8.5*3.328</f>
        <v>28.288</v>
      </c>
      <c r="F121" s="78">
        <v>2008</v>
      </c>
      <c r="G121" s="10">
        <f t="shared" si="12"/>
        <v>28.288</v>
      </c>
      <c r="H121" s="80" t="s">
        <v>256</v>
      </c>
      <c r="I121" s="11" t="s">
        <v>229</v>
      </c>
      <c r="J121" s="11">
        <f>26*21</f>
        <v>546</v>
      </c>
      <c r="K121" s="11">
        <f>J121*10.76</f>
        <v>5874.96</v>
      </c>
      <c r="L121" s="74" t="str">
        <f t="shared" si="7"/>
        <v>Galvalume sheet roofed building mounted on steel trusses resting on Metallic Column &amp; Brick Wall with GALVALUME ROOFING SHED</v>
      </c>
    </row>
    <row r="122" spans="1:12" s="74" customFormat="1" ht="60" x14ac:dyDescent="0.25">
      <c r="A122" s="11">
        <v>118</v>
      </c>
      <c r="B122" s="83" t="s">
        <v>154</v>
      </c>
      <c r="C122" s="11">
        <v>1</v>
      </c>
      <c r="D122" s="8" t="s">
        <v>253</v>
      </c>
      <c r="E122" s="10">
        <f>9*3.328</f>
        <v>29.951999999999998</v>
      </c>
      <c r="F122" s="78">
        <v>1991</v>
      </c>
      <c r="G122" s="10">
        <f t="shared" si="12"/>
        <v>29.951999999999998</v>
      </c>
      <c r="H122" s="80" t="s">
        <v>254</v>
      </c>
      <c r="I122" s="11" t="s">
        <v>245</v>
      </c>
      <c r="J122" s="11">
        <f>21*11</f>
        <v>231</v>
      </c>
      <c r="K122" s="11">
        <f t="shared" ref="K122:K124" si="13">J122*10.76</f>
        <v>2485.56</v>
      </c>
      <c r="L122" s="74" t="str">
        <f t="shared" si="7"/>
        <v>Asbestos sheet roofed building mounted on steel trusses resting on Metallic Column &amp; Brick Wall with ASBESTOS SHEET ROOFING SHED</v>
      </c>
    </row>
    <row r="123" spans="1:12" s="74" customFormat="1" ht="60" x14ac:dyDescent="0.25">
      <c r="A123" s="11">
        <v>119</v>
      </c>
      <c r="B123" s="83" t="s">
        <v>155</v>
      </c>
      <c r="C123" s="11">
        <v>1</v>
      </c>
      <c r="D123" s="8" t="s">
        <v>253</v>
      </c>
      <c r="E123" s="10">
        <f>9*3.328</f>
        <v>29.951999999999998</v>
      </c>
      <c r="F123" s="78">
        <v>1991</v>
      </c>
      <c r="G123" s="10">
        <f t="shared" si="12"/>
        <v>29.951999999999998</v>
      </c>
      <c r="H123" s="80" t="s">
        <v>254</v>
      </c>
      <c r="I123" s="11" t="s">
        <v>245</v>
      </c>
      <c r="J123" s="11">
        <f>21*11</f>
        <v>231</v>
      </c>
      <c r="K123" s="11">
        <f t="shared" si="13"/>
        <v>2485.56</v>
      </c>
      <c r="L123" s="74" t="str">
        <f t="shared" si="7"/>
        <v>Asbestos sheet roofed building mounted on steel trusses resting on Metallic Column &amp; Brick Wall with ASBESTOS SHEET ROOFING SHED</v>
      </c>
    </row>
    <row r="124" spans="1:12" s="74" customFormat="1" ht="45" x14ac:dyDescent="0.25">
      <c r="A124" s="11">
        <v>120</v>
      </c>
      <c r="B124" s="83" t="s">
        <v>156</v>
      </c>
      <c r="C124" s="11">
        <v>1</v>
      </c>
      <c r="D124" s="8" t="s">
        <v>249</v>
      </c>
      <c r="E124" s="10">
        <f>4*3.328</f>
        <v>13.311999999999999</v>
      </c>
      <c r="F124" s="78">
        <v>2002</v>
      </c>
      <c r="G124" s="10">
        <f t="shared" si="12"/>
        <v>13.311999999999999</v>
      </c>
      <c r="H124" s="80" t="s">
        <v>250</v>
      </c>
      <c r="I124" s="11" t="s">
        <v>245</v>
      </c>
      <c r="J124" s="11">
        <f>28*9</f>
        <v>252</v>
      </c>
      <c r="K124" s="11">
        <f t="shared" si="13"/>
        <v>2711.52</v>
      </c>
      <c r="L124" s="74" t="str">
        <f t="shared" si="7"/>
        <v>GI sheet roofed building mounted on steel trusses resting on Metallic Column &amp; Brick Wall with GI SHEET ROOFING SHED</v>
      </c>
    </row>
    <row r="125" spans="1:12" x14ac:dyDescent="0.25">
      <c r="J125" s="94">
        <f>SUM(J5:J124)</f>
        <v>115246.10156800003</v>
      </c>
      <c r="K125" s="94">
        <f>SUM(K5:K124)</f>
        <v>1240048.0528716801</v>
      </c>
    </row>
  </sheetData>
  <mergeCells count="2">
    <mergeCell ref="A2:K2"/>
    <mergeCell ref="A4:K4"/>
  </mergeCells>
  <dataValidations count="1">
    <dataValidation type="list" allowBlank="1" showInputMessage="1" showErrorMessage="1" sqref="I5:I124">
      <formula1>"Very Good, Good, Average, Poor, Ordinary with wreckages in the structure"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54"/>
  <sheetViews>
    <sheetView topLeftCell="A22" workbookViewId="0">
      <selection activeCell="B50" sqref="B50"/>
    </sheetView>
  </sheetViews>
  <sheetFormatPr defaultRowHeight="15" x14ac:dyDescent="0.25"/>
  <sheetData>
    <row r="3" spans="2:2" x14ac:dyDescent="0.25">
      <c r="B3" t="s">
        <v>183</v>
      </c>
    </row>
    <row r="4" spans="2:2" x14ac:dyDescent="0.25">
      <c r="B4" t="s">
        <v>177</v>
      </c>
    </row>
    <row r="5" spans="2:2" x14ac:dyDescent="0.25">
      <c r="B5" t="s">
        <v>170</v>
      </c>
    </row>
    <row r="6" spans="2:2" x14ac:dyDescent="0.25">
      <c r="B6" t="s">
        <v>168</v>
      </c>
    </row>
    <row r="7" spans="2:2" x14ac:dyDescent="0.25">
      <c r="B7" t="s">
        <v>181</v>
      </c>
    </row>
    <row r="8" spans="2:2" x14ac:dyDescent="0.25">
      <c r="B8" t="s">
        <v>178</v>
      </c>
    </row>
    <row r="9" spans="2:2" x14ac:dyDescent="0.25">
      <c r="B9" t="s">
        <v>165</v>
      </c>
    </row>
    <row r="10" spans="2:2" x14ac:dyDescent="0.25">
      <c r="B10" t="s">
        <v>171</v>
      </c>
    </row>
    <row r="11" spans="2:2" x14ac:dyDescent="0.25">
      <c r="B11" t="s">
        <v>173</v>
      </c>
    </row>
    <row r="12" spans="2:2" x14ac:dyDescent="0.25">
      <c r="B12" t="s">
        <v>159</v>
      </c>
    </row>
    <row r="13" spans="2:2" x14ac:dyDescent="0.25">
      <c r="B13" t="s">
        <v>174</v>
      </c>
    </row>
    <row r="14" spans="2:2" x14ac:dyDescent="0.25">
      <c r="B14" t="s">
        <v>176</v>
      </c>
    </row>
    <row r="15" spans="2:2" x14ac:dyDescent="0.25">
      <c r="B15" t="s">
        <v>175</v>
      </c>
    </row>
    <row r="16" spans="2:2" x14ac:dyDescent="0.25">
      <c r="B16" t="s">
        <v>166</v>
      </c>
    </row>
    <row r="17" spans="1:8" x14ac:dyDescent="0.25">
      <c r="B17" t="s">
        <v>180</v>
      </c>
    </row>
    <row r="18" spans="1:8" x14ac:dyDescent="0.25">
      <c r="B18" t="s">
        <v>169</v>
      </c>
    </row>
    <row r="19" spans="1:8" x14ac:dyDescent="0.25">
      <c r="B19" t="s">
        <v>179</v>
      </c>
    </row>
    <row r="20" spans="1:8" x14ac:dyDescent="0.25">
      <c r="B20" t="s">
        <v>172</v>
      </c>
    </row>
    <row r="21" spans="1:8" x14ac:dyDescent="0.25">
      <c r="B21" t="s">
        <v>167</v>
      </c>
    </row>
    <row r="22" spans="1:8" x14ac:dyDescent="0.25">
      <c r="B22" t="s">
        <v>163</v>
      </c>
    </row>
    <row r="23" spans="1:8" x14ac:dyDescent="0.25">
      <c r="B23" t="s">
        <v>162</v>
      </c>
    </row>
    <row r="24" spans="1:8" x14ac:dyDescent="0.25">
      <c r="B24" t="s">
        <v>158</v>
      </c>
    </row>
    <row r="25" spans="1:8" x14ac:dyDescent="0.25">
      <c r="B25" t="s">
        <v>164</v>
      </c>
    </row>
    <row r="26" spans="1:8" x14ac:dyDescent="0.25">
      <c r="B26" t="s">
        <v>160</v>
      </c>
    </row>
    <row r="27" spans="1:8" x14ac:dyDescent="0.25">
      <c r="B27" t="s">
        <v>161</v>
      </c>
    </row>
    <row r="28" spans="1:8" x14ac:dyDescent="0.25">
      <c r="B28" t="s">
        <v>184</v>
      </c>
    </row>
    <row r="29" spans="1:8" x14ac:dyDescent="0.25">
      <c r="B29">
        <v>1</v>
      </c>
      <c r="C29">
        <v>2</v>
      </c>
      <c r="D29">
        <v>3</v>
      </c>
      <c r="E29">
        <v>4</v>
      </c>
      <c r="F29">
        <v>5</v>
      </c>
      <c r="G29">
        <v>6</v>
      </c>
      <c r="H29">
        <v>7</v>
      </c>
    </row>
    <row r="30" spans="1:8" x14ac:dyDescent="0.25">
      <c r="A30" t="s">
        <v>207</v>
      </c>
      <c r="B30" t="s">
        <v>188</v>
      </c>
      <c r="C30" t="s">
        <v>189</v>
      </c>
      <c r="D30" t="s">
        <v>190</v>
      </c>
      <c r="E30" t="s">
        <v>191</v>
      </c>
      <c r="F30" t="s">
        <v>186</v>
      </c>
      <c r="G30" t="s">
        <v>187</v>
      </c>
      <c r="H30">
        <v>25</v>
      </c>
    </row>
    <row r="31" spans="1:8" x14ac:dyDescent="0.25">
      <c r="A31">
        <v>1</v>
      </c>
      <c r="B31" t="s">
        <v>177</v>
      </c>
      <c r="C31">
        <v>1</v>
      </c>
      <c r="D31">
        <v>500</v>
      </c>
      <c r="E31">
        <v>700</v>
      </c>
      <c r="F31">
        <v>900</v>
      </c>
      <c r="G31">
        <v>1100</v>
      </c>
      <c r="H31">
        <v>1300</v>
      </c>
    </row>
    <row r="32" spans="1:8" x14ac:dyDescent="0.25">
      <c r="A32">
        <v>2</v>
      </c>
      <c r="B32" t="s">
        <v>170</v>
      </c>
      <c r="C32">
        <v>1</v>
      </c>
      <c r="D32">
        <v>500</v>
      </c>
      <c r="E32">
        <v>700</v>
      </c>
      <c r="F32">
        <v>900</v>
      </c>
      <c r="G32">
        <v>1100</v>
      </c>
      <c r="H32">
        <v>1300</v>
      </c>
    </row>
    <row r="33" spans="1:8" x14ac:dyDescent="0.25">
      <c r="A33">
        <v>3</v>
      </c>
      <c r="B33" t="s">
        <v>168</v>
      </c>
      <c r="C33">
        <v>1</v>
      </c>
      <c r="D33">
        <v>600</v>
      </c>
      <c r="E33">
        <v>800</v>
      </c>
      <c r="F33">
        <v>1000</v>
      </c>
      <c r="G33">
        <v>1200</v>
      </c>
      <c r="H33">
        <v>1400</v>
      </c>
    </row>
    <row r="34" spans="1:8" x14ac:dyDescent="0.25">
      <c r="A34">
        <v>4</v>
      </c>
      <c r="B34" t="s">
        <v>181</v>
      </c>
      <c r="C34">
        <v>1</v>
      </c>
      <c r="D34">
        <v>500</v>
      </c>
      <c r="E34">
        <v>700</v>
      </c>
      <c r="F34">
        <v>900</v>
      </c>
      <c r="G34">
        <v>1100</v>
      </c>
      <c r="H34">
        <v>1300</v>
      </c>
    </row>
    <row r="35" spans="1:8" x14ac:dyDescent="0.25">
      <c r="A35">
        <v>5</v>
      </c>
      <c r="B35" t="s">
        <v>178</v>
      </c>
      <c r="C35">
        <v>1</v>
      </c>
      <c r="D35">
        <v>500</v>
      </c>
      <c r="E35">
        <v>700</v>
      </c>
      <c r="F35">
        <v>900</v>
      </c>
      <c r="G35">
        <v>1100</v>
      </c>
      <c r="H35">
        <v>1300</v>
      </c>
    </row>
    <row r="36" spans="1:8" x14ac:dyDescent="0.25">
      <c r="A36">
        <v>6</v>
      </c>
      <c r="B36" t="s">
        <v>165</v>
      </c>
      <c r="C36">
        <v>1</v>
      </c>
      <c r="D36">
        <v>600</v>
      </c>
      <c r="E36">
        <v>800</v>
      </c>
      <c r="F36">
        <v>1000</v>
      </c>
      <c r="G36">
        <v>1200</v>
      </c>
      <c r="H36">
        <v>1400</v>
      </c>
    </row>
    <row r="37" spans="1:8" x14ac:dyDescent="0.25">
      <c r="A37">
        <v>8</v>
      </c>
      <c r="B37" t="s">
        <v>171</v>
      </c>
      <c r="C37">
        <v>1</v>
      </c>
      <c r="D37">
        <v>500</v>
      </c>
      <c r="E37">
        <v>700</v>
      </c>
      <c r="F37">
        <v>900</v>
      </c>
      <c r="G37">
        <v>1100</v>
      </c>
      <c r="H37">
        <v>1300</v>
      </c>
    </row>
    <row r="38" spans="1:8" x14ac:dyDescent="0.25">
      <c r="A38">
        <v>9</v>
      </c>
      <c r="B38" t="s">
        <v>173</v>
      </c>
      <c r="C38">
        <v>1</v>
      </c>
      <c r="D38">
        <v>600</v>
      </c>
      <c r="E38">
        <v>800</v>
      </c>
      <c r="F38">
        <v>1000</v>
      </c>
      <c r="G38">
        <v>1200</v>
      </c>
      <c r="H38">
        <v>1400</v>
      </c>
    </row>
    <row r="39" spans="1:8" x14ac:dyDescent="0.25">
      <c r="A39">
        <v>10</v>
      </c>
      <c r="B39" t="s">
        <v>159</v>
      </c>
      <c r="C39">
        <v>1</v>
      </c>
      <c r="D39">
        <v>500</v>
      </c>
      <c r="E39">
        <v>700</v>
      </c>
      <c r="F39">
        <v>900</v>
      </c>
      <c r="G39">
        <v>1100</v>
      </c>
      <c r="H39">
        <v>1300</v>
      </c>
    </row>
    <row r="40" spans="1:8" x14ac:dyDescent="0.25">
      <c r="A40">
        <v>11</v>
      </c>
      <c r="B40" t="s">
        <v>174</v>
      </c>
      <c r="C40">
        <v>1</v>
      </c>
      <c r="D40">
        <v>500</v>
      </c>
      <c r="E40">
        <v>700</v>
      </c>
      <c r="F40">
        <v>900</v>
      </c>
      <c r="G40">
        <v>1100</v>
      </c>
      <c r="H40">
        <v>1300</v>
      </c>
    </row>
    <row r="41" spans="1:8" x14ac:dyDescent="0.25">
      <c r="A41">
        <v>12</v>
      </c>
      <c r="B41" t="s">
        <v>176</v>
      </c>
      <c r="C41">
        <v>1</v>
      </c>
      <c r="D41">
        <v>600</v>
      </c>
      <c r="E41">
        <v>800</v>
      </c>
      <c r="F41">
        <v>1000</v>
      </c>
      <c r="G41">
        <v>1200</v>
      </c>
      <c r="H41">
        <v>1400</v>
      </c>
    </row>
    <row r="42" spans="1:8" x14ac:dyDescent="0.25">
      <c r="A42">
        <v>13</v>
      </c>
      <c r="B42" t="s">
        <v>175</v>
      </c>
      <c r="C42">
        <v>1</v>
      </c>
      <c r="D42">
        <v>500</v>
      </c>
      <c r="E42">
        <v>700</v>
      </c>
      <c r="F42">
        <v>900</v>
      </c>
      <c r="G42">
        <v>1100</v>
      </c>
      <c r="H42">
        <v>1300</v>
      </c>
    </row>
    <row r="43" spans="1:8" x14ac:dyDescent="0.25">
      <c r="A43">
        <v>14</v>
      </c>
      <c r="B43" t="s">
        <v>166</v>
      </c>
      <c r="C43">
        <v>1</v>
      </c>
      <c r="D43">
        <v>500</v>
      </c>
      <c r="E43">
        <v>700</v>
      </c>
      <c r="F43">
        <v>900</v>
      </c>
      <c r="G43">
        <v>1100</v>
      </c>
      <c r="H43">
        <v>1300</v>
      </c>
    </row>
    <row r="44" spans="1:8" x14ac:dyDescent="0.25">
      <c r="A44">
        <v>15</v>
      </c>
      <c r="B44" t="s">
        <v>180</v>
      </c>
      <c r="C44">
        <v>100</v>
      </c>
      <c r="D44">
        <v>200</v>
      </c>
      <c r="E44">
        <v>200</v>
      </c>
      <c r="F44">
        <v>200</v>
      </c>
      <c r="G44">
        <v>200</v>
      </c>
      <c r="H44">
        <v>200</v>
      </c>
    </row>
    <row r="45" spans="1:8" x14ac:dyDescent="0.25">
      <c r="A45">
        <v>16</v>
      </c>
      <c r="B45" t="s">
        <v>169</v>
      </c>
      <c r="C45">
        <v>100</v>
      </c>
      <c r="D45">
        <v>200</v>
      </c>
      <c r="E45">
        <v>200</v>
      </c>
      <c r="F45">
        <v>200</v>
      </c>
      <c r="G45">
        <v>200</v>
      </c>
      <c r="H45">
        <v>200</v>
      </c>
    </row>
    <row r="46" spans="1:8" x14ac:dyDescent="0.25">
      <c r="A46">
        <v>17</v>
      </c>
      <c r="B46" t="s">
        <v>179</v>
      </c>
      <c r="C46">
        <v>100</v>
      </c>
      <c r="D46">
        <v>200</v>
      </c>
      <c r="E46">
        <v>200</v>
      </c>
      <c r="F46">
        <v>200</v>
      </c>
      <c r="G46">
        <v>200</v>
      </c>
      <c r="H46">
        <v>200</v>
      </c>
    </row>
    <row r="47" spans="1:8" x14ac:dyDescent="0.25">
      <c r="A47">
        <v>18</v>
      </c>
      <c r="B47" t="s">
        <v>172</v>
      </c>
      <c r="C47">
        <v>100</v>
      </c>
      <c r="D47">
        <v>200</v>
      </c>
      <c r="E47">
        <v>200</v>
      </c>
      <c r="F47">
        <v>200</v>
      </c>
      <c r="G47">
        <v>200</v>
      </c>
      <c r="H47">
        <v>200</v>
      </c>
    </row>
    <row r="48" spans="1:8" x14ac:dyDescent="0.25">
      <c r="A48">
        <v>19</v>
      </c>
      <c r="B48" t="s">
        <v>167</v>
      </c>
      <c r="C48">
        <v>1</v>
      </c>
      <c r="D48">
        <v>500</v>
      </c>
      <c r="E48">
        <v>700</v>
      </c>
      <c r="F48">
        <v>900</v>
      </c>
      <c r="G48">
        <v>1000</v>
      </c>
      <c r="H48">
        <v>1200</v>
      </c>
    </row>
    <row r="49" spans="1:8" x14ac:dyDescent="0.25">
      <c r="A49">
        <v>20</v>
      </c>
      <c r="B49" t="s">
        <v>163</v>
      </c>
      <c r="C49">
        <v>1</v>
      </c>
      <c r="D49">
        <v>900</v>
      </c>
      <c r="E49">
        <v>1100</v>
      </c>
      <c r="F49">
        <v>1300</v>
      </c>
      <c r="G49">
        <v>1400</v>
      </c>
      <c r="H49">
        <v>1600</v>
      </c>
    </row>
    <row r="50" spans="1:8" x14ac:dyDescent="0.25">
      <c r="A50">
        <v>21</v>
      </c>
      <c r="B50" t="s">
        <v>162</v>
      </c>
      <c r="C50">
        <v>1</v>
      </c>
      <c r="D50">
        <v>800</v>
      </c>
      <c r="E50">
        <v>1000</v>
      </c>
      <c r="F50">
        <v>1200</v>
      </c>
      <c r="G50">
        <v>1300</v>
      </c>
      <c r="H50">
        <v>1500</v>
      </c>
    </row>
    <row r="51" spans="1:8" x14ac:dyDescent="0.25">
      <c r="A51">
        <v>22</v>
      </c>
      <c r="B51" t="s">
        <v>158</v>
      </c>
      <c r="C51">
        <v>1</v>
      </c>
      <c r="D51">
        <v>1200</v>
      </c>
      <c r="E51">
        <v>1400</v>
      </c>
      <c r="F51">
        <v>1600</v>
      </c>
      <c r="G51">
        <v>1700</v>
      </c>
      <c r="H51">
        <v>1900</v>
      </c>
    </row>
    <row r="52" spans="1:8" x14ac:dyDescent="0.25">
      <c r="A52">
        <v>23</v>
      </c>
      <c r="B52" t="s">
        <v>164</v>
      </c>
      <c r="C52">
        <v>1</v>
      </c>
      <c r="D52">
        <v>1200</v>
      </c>
      <c r="E52">
        <v>1400</v>
      </c>
      <c r="F52">
        <v>1600</v>
      </c>
      <c r="G52">
        <v>1700</v>
      </c>
      <c r="H52">
        <v>1900</v>
      </c>
    </row>
    <row r="53" spans="1:8" x14ac:dyDescent="0.25">
      <c r="A53">
        <v>24</v>
      </c>
      <c r="B53" t="s">
        <v>160</v>
      </c>
      <c r="C53">
        <v>1</v>
      </c>
      <c r="D53">
        <v>1200</v>
      </c>
      <c r="E53">
        <v>1400</v>
      </c>
      <c r="F53">
        <v>1600</v>
      </c>
      <c r="G53">
        <v>1700</v>
      </c>
      <c r="H53">
        <v>1900</v>
      </c>
    </row>
    <row r="54" spans="1:8" x14ac:dyDescent="0.25">
      <c r="A54">
        <v>25</v>
      </c>
      <c r="B54" t="s">
        <v>161</v>
      </c>
      <c r="C54">
        <v>1</v>
      </c>
      <c r="D54">
        <v>900</v>
      </c>
      <c r="E54">
        <v>1100</v>
      </c>
      <c r="F54">
        <v>1300</v>
      </c>
      <c r="G54">
        <v>1400</v>
      </c>
      <c r="H54">
        <v>1600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54"/>
  <sheetViews>
    <sheetView topLeftCell="A28" workbookViewId="0">
      <selection activeCell="B38" sqref="A38:XFD38"/>
    </sheetView>
  </sheetViews>
  <sheetFormatPr defaultRowHeight="15" x14ac:dyDescent="0.25"/>
  <cols>
    <col min="2" max="2" width="131.5703125" bestFit="1" customWidth="1"/>
    <col min="3" max="3" width="10.7109375" customWidth="1"/>
    <col min="4" max="4" width="11.5703125" bestFit="1" customWidth="1"/>
  </cols>
  <sheetData>
    <row r="3" spans="2:3" x14ac:dyDescent="0.25">
      <c r="B3" s="33" t="s">
        <v>183</v>
      </c>
      <c r="C3" s="33"/>
    </row>
    <row r="4" spans="2:3" x14ac:dyDescent="0.25">
      <c r="B4" s="34" t="s">
        <v>177</v>
      </c>
      <c r="C4" s="34"/>
    </row>
    <row r="5" spans="2:3" x14ac:dyDescent="0.25">
      <c r="B5" s="34" t="s">
        <v>170</v>
      </c>
      <c r="C5" s="34"/>
    </row>
    <row r="6" spans="2:3" x14ac:dyDescent="0.25">
      <c r="B6" s="34" t="s">
        <v>168</v>
      </c>
      <c r="C6" s="34"/>
    </row>
    <row r="7" spans="2:3" x14ac:dyDescent="0.25">
      <c r="B7" s="34" t="s">
        <v>181</v>
      </c>
      <c r="C7" s="34"/>
    </row>
    <row r="8" spans="2:3" x14ac:dyDescent="0.25">
      <c r="B8" s="34" t="s">
        <v>178</v>
      </c>
      <c r="C8" s="34"/>
    </row>
    <row r="9" spans="2:3" x14ac:dyDescent="0.25">
      <c r="B9" s="34" t="s">
        <v>165</v>
      </c>
      <c r="C9" s="34"/>
    </row>
    <row r="10" spans="2:3" x14ac:dyDescent="0.25">
      <c r="B10" s="34" t="s">
        <v>171</v>
      </c>
      <c r="C10" s="34"/>
    </row>
    <row r="11" spans="2:3" x14ac:dyDescent="0.25">
      <c r="B11" s="34" t="s">
        <v>173</v>
      </c>
      <c r="C11" s="34"/>
    </row>
    <row r="12" spans="2:3" x14ac:dyDescent="0.25">
      <c r="B12" s="34" t="s">
        <v>159</v>
      </c>
      <c r="C12" s="34"/>
    </row>
    <row r="13" spans="2:3" x14ac:dyDescent="0.25">
      <c r="B13" s="34" t="s">
        <v>174</v>
      </c>
      <c r="C13" s="34"/>
    </row>
    <row r="14" spans="2:3" x14ac:dyDescent="0.25">
      <c r="B14" s="34" t="s">
        <v>176</v>
      </c>
      <c r="C14" s="34"/>
    </row>
    <row r="15" spans="2:3" x14ac:dyDescent="0.25">
      <c r="B15" s="34" t="s">
        <v>175</v>
      </c>
      <c r="C15" s="34"/>
    </row>
    <row r="16" spans="2:3" x14ac:dyDescent="0.25">
      <c r="B16" s="34" t="s">
        <v>166</v>
      </c>
      <c r="C16" s="34"/>
    </row>
    <row r="17" spans="1:8" x14ac:dyDescent="0.25">
      <c r="B17" s="34" t="s">
        <v>180</v>
      </c>
      <c r="C17" s="34"/>
    </row>
    <row r="18" spans="1:8" x14ac:dyDescent="0.25">
      <c r="B18" s="34" t="s">
        <v>169</v>
      </c>
      <c r="C18" s="34"/>
    </row>
    <row r="19" spans="1:8" x14ac:dyDescent="0.25">
      <c r="B19" s="34" t="s">
        <v>179</v>
      </c>
      <c r="C19" s="34"/>
    </row>
    <row r="20" spans="1:8" x14ac:dyDescent="0.25">
      <c r="B20" s="34" t="s">
        <v>172</v>
      </c>
      <c r="C20" s="34"/>
    </row>
    <row r="21" spans="1:8" x14ac:dyDescent="0.25">
      <c r="B21" s="34" t="s">
        <v>167</v>
      </c>
      <c r="C21" s="34"/>
    </row>
    <row r="22" spans="1:8" x14ac:dyDescent="0.25">
      <c r="B22" s="34" t="s">
        <v>163</v>
      </c>
      <c r="C22" s="34"/>
    </row>
    <row r="23" spans="1:8" x14ac:dyDescent="0.25">
      <c r="B23" s="34" t="s">
        <v>162</v>
      </c>
      <c r="C23" s="34"/>
    </row>
    <row r="24" spans="1:8" x14ac:dyDescent="0.25">
      <c r="B24" s="34" t="s">
        <v>158</v>
      </c>
      <c r="C24" s="34"/>
    </row>
    <row r="25" spans="1:8" x14ac:dyDescent="0.25">
      <c r="B25" s="34" t="s">
        <v>164</v>
      </c>
      <c r="C25" s="34"/>
    </row>
    <row r="26" spans="1:8" x14ac:dyDescent="0.25">
      <c r="B26" s="34" t="s">
        <v>160</v>
      </c>
      <c r="C26" s="34"/>
    </row>
    <row r="27" spans="1:8" x14ac:dyDescent="0.25">
      <c r="B27" s="34" t="s">
        <v>161</v>
      </c>
      <c r="C27" s="34"/>
    </row>
    <row r="28" spans="1:8" x14ac:dyDescent="0.25">
      <c r="B28" s="34" t="s">
        <v>184</v>
      </c>
      <c r="C28" s="34"/>
    </row>
    <row r="29" spans="1:8" x14ac:dyDescent="0.25">
      <c r="B29" s="26">
        <v>1</v>
      </c>
      <c r="C29" s="26">
        <v>2</v>
      </c>
      <c r="D29" s="26">
        <v>3</v>
      </c>
      <c r="E29" s="26">
        <v>4</v>
      </c>
      <c r="F29" s="26">
        <v>5</v>
      </c>
      <c r="G29" s="26">
        <v>6</v>
      </c>
      <c r="H29" s="26">
        <v>7</v>
      </c>
    </row>
    <row r="30" spans="1:8" x14ac:dyDescent="0.25">
      <c r="A30" s="51" t="s">
        <v>207</v>
      </c>
      <c r="B30" s="51" t="s">
        <v>188</v>
      </c>
      <c r="C30" s="51" t="s">
        <v>189</v>
      </c>
      <c r="D30" s="61" t="s">
        <v>190</v>
      </c>
      <c r="E30" s="61" t="s">
        <v>191</v>
      </c>
      <c r="F30" s="61" t="s">
        <v>186</v>
      </c>
      <c r="G30" s="51" t="s">
        <v>187</v>
      </c>
      <c r="H30" s="51">
        <v>25</v>
      </c>
    </row>
    <row r="31" spans="1:8" x14ac:dyDescent="0.25">
      <c r="A31" s="51">
        <v>1</v>
      </c>
      <c r="B31" s="40" t="s">
        <v>177</v>
      </c>
      <c r="C31" s="51">
        <v>1</v>
      </c>
      <c r="D31" s="51">
        <v>300</v>
      </c>
      <c r="E31" s="51">
        <f>D31+100</f>
        <v>400</v>
      </c>
      <c r="F31" s="51">
        <f>E31+200</f>
        <v>600</v>
      </c>
      <c r="G31" s="51">
        <f>F31+200</f>
        <v>800</v>
      </c>
      <c r="H31" s="51">
        <f>G31+200</f>
        <v>1000</v>
      </c>
    </row>
    <row r="32" spans="1:8" x14ac:dyDescent="0.25">
      <c r="A32" s="51">
        <v>2</v>
      </c>
      <c r="B32" s="40" t="s">
        <v>170</v>
      </c>
      <c r="C32" s="51">
        <v>1</v>
      </c>
      <c r="D32" s="51">
        <v>400</v>
      </c>
      <c r="E32" s="51">
        <f t="shared" ref="E32:E43" si="0">D32+100</f>
        <v>500</v>
      </c>
      <c r="F32" s="51">
        <f t="shared" ref="F32:H32" si="1">E32+200</f>
        <v>700</v>
      </c>
      <c r="G32" s="51">
        <f t="shared" si="1"/>
        <v>900</v>
      </c>
      <c r="H32" s="51">
        <f t="shared" si="1"/>
        <v>1100</v>
      </c>
    </row>
    <row r="33" spans="1:8" x14ac:dyDescent="0.25">
      <c r="A33" s="51">
        <v>3</v>
      </c>
      <c r="B33" s="40" t="s">
        <v>168</v>
      </c>
      <c r="C33" s="51">
        <v>1</v>
      </c>
      <c r="D33" s="51">
        <v>300</v>
      </c>
      <c r="E33" s="51">
        <f t="shared" si="0"/>
        <v>400</v>
      </c>
      <c r="F33" s="51">
        <f t="shared" ref="F33:H33" si="2">E33+200</f>
        <v>600</v>
      </c>
      <c r="G33" s="51">
        <f t="shared" si="2"/>
        <v>800</v>
      </c>
      <c r="H33" s="51">
        <f t="shared" si="2"/>
        <v>1000</v>
      </c>
    </row>
    <row r="34" spans="1:8" x14ac:dyDescent="0.25">
      <c r="A34" s="51">
        <v>4</v>
      </c>
      <c r="B34" s="40" t="s">
        <v>181</v>
      </c>
      <c r="C34" s="51">
        <v>1</v>
      </c>
      <c r="D34" s="51">
        <v>300</v>
      </c>
      <c r="E34" s="51">
        <f t="shared" si="0"/>
        <v>400</v>
      </c>
      <c r="F34" s="51">
        <f t="shared" ref="F34:H34" si="3">E34+200</f>
        <v>600</v>
      </c>
      <c r="G34" s="51">
        <f t="shared" si="3"/>
        <v>800</v>
      </c>
      <c r="H34" s="51">
        <f t="shared" si="3"/>
        <v>1000</v>
      </c>
    </row>
    <row r="35" spans="1:8" x14ac:dyDescent="0.25">
      <c r="A35" s="51">
        <v>5</v>
      </c>
      <c r="B35" s="40" t="s">
        <v>178</v>
      </c>
      <c r="C35" s="51">
        <v>1</v>
      </c>
      <c r="D35" s="51">
        <v>300</v>
      </c>
      <c r="E35" s="51">
        <f t="shared" si="0"/>
        <v>400</v>
      </c>
      <c r="F35" s="51">
        <f t="shared" ref="F35:H35" si="4">E35+200</f>
        <v>600</v>
      </c>
      <c r="G35" s="51">
        <f t="shared" si="4"/>
        <v>800</v>
      </c>
      <c r="H35" s="51">
        <f t="shared" si="4"/>
        <v>1000</v>
      </c>
    </row>
    <row r="36" spans="1:8" x14ac:dyDescent="0.25">
      <c r="A36" s="51">
        <v>6</v>
      </c>
      <c r="B36" s="40" t="s">
        <v>165</v>
      </c>
      <c r="C36" s="51">
        <v>1</v>
      </c>
      <c r="D36" s="51">
        <v>400</v>
      </c>
      <c r="E36" s="51">
        <f t="shared" si="0"/>
        <v>500</v>
      </c>
      <c r="F36" s="51">
        <f t="shared" ref="F36:H36" si="5">E36+200</f>
        <v>700</v>
      </c>
      <c r="G36" s="51">
        <f t="shared" si="5"/>
        <v>900</v>
      </c>
      <c r="H36" s="51">
        <f t="shared" si="5"/>
        <v>1100</v>
      </c>
    </row>
    <row r="37" spans="1:8" x14ac:dyDescent="0.25">
      <c r="A37" s="51">
        <v>8</v>
      </c>
      <c r="B37" s="40" t="s">
        <v>171</v>
      </c>
      <c r="C37" s="51">
        <v>1</v>
      </c>
      <c r="D37" s="51">
        <v>400</v>
      </c>
      <c r="E37" s="51">
        <f t="shared" si="0"/>
        <v>500</v>
      </c>
      <c r="F37" s="51">
        <f t="shared" ref="F37:H37" si="6">E37+200</f>
        <v>700</v>
      </c>
      <c r="G37" s="51">
        <f t="shared" si="6"/>
        <v>900</v>
      </c>
      <c r="H37" s="51">
        <f t="shared" si="6"/>
        <v>1100</v>
      </c>
    </row>
    <row r="38" spans="1:8" s="126" customFormat="1" x14ac:dyDescent="0.25">
      <c r="A38" s="124">
        <v>9</v>
      </c>
      <c r="B38" s="125" t="s">
        <v>173</v>
      </c>
      <c r="C38" s="124">
        <v>1</v>
      </c>
      <c r="D38" s="124">
        <v>400</v>
      </c>
      <c r="E38" s="124">
        <f t="shared" si="0"/>
        <v>500</v>
      </c>
      <c r="F38" s="124">
        <f t="shared" ref="F38:H38" si="7">E38+200</f>
        <v>700</v>
      </c>
      <c r="G38" s="124">
        <f t="shared" si="7"/>
        <v>900</v>
      </c>
      <c r="H38" s="124">
        <f t="shared" si="7"/>
        <v>1100</v>
      </c>
    </row>
    <row r="39" spans="1:8" x14ac:dyDescent="0.25">
      <c r="A39" s="51">
        <v>10</v>
      </c>
      <c r="B39" s="40" t="s">
        <v>159</v>
      </c>
      <c r="C39" s="51">
        <v>1</v>
      </c>
      <c r="D39" s="51">
        <v>400</v>
      </c>
      <c r="E39" s="51">
        <f t="shared" si="0"/>
        <v>500</v>
      </c>
      <c r="F39" s="51">
        <f t="shared" ref="F39:H39" si="8">E39+200</f>
        <v>700</v>
      </c>
      <c r="G39" s="51">
        <f t="shared" si="8"/>
        <v>900</v>
      </c>
      <c r="H39" s="51">
        <f t="shared" si="8"/>
        <v>1100</v>
      </c>
    </row>
    <row r="40" spans="1:8" x14ac:dyDescent="0.25">
      <c r="A40" s="51">
        <v>11</v>
      </c>
      <c r="B40" s="40" t="s">
        <v>174</v>
      </c>
      <c r="C40" s="51">
        <v>1</v>
      </c>
      <c r="D40" s="51">
        <v>400</v>
      </c>
      <c r="E40" s="51">
        <f t="shared" si="0"/>
        <v>500</v>
      </c>
      <c r="F40" s="51">
        <f t="shared" ref="F40:H40" si="9">E40+200</f>
        <v>700</v>
      </c>
      <c r="G40" s="51">
        <f t="shared" si="9"/>
        <v>900</v>
      </c>
      <c r="H40" s="51">
        <f t="shared" si="9"/>
        <v>1100</v>
      </c>
    </row>
    <row r="41" spans="1:8" x14ac:dyDescent="0.25">
      <c r="A41" s="51">
        <v>12</v>
      </c>
      <c r="B41" s="40" t="s">
        <v>176</v>
      </c>
      <c r="C41" s="51">
        <v>1</v>
      </c>
      <c r="D41" s="51">
        <v>300</v>
      </c>
      <c r="E41" s="51">
        <f t="shared" si="0"/>
        <v>400</v>
      </c>
      <c r="F41" s="51">
        <f t="shared" ref="F41:H41" si="10">E41+200</f>
        <v>600</v>
      </c>
      <c r="G41" s="51">
        <f t="shared" si="10"/>
        <v>800</v>
      </c>
      <c r="H41" s="51">
        <f t="shared" si="10"/>
        <v>1000</v>
      </c>
    </row>
    <row r="42" spans="1:8" x14ac:dyDescent="0.25">
      <c r="A42" s="51">
        <v>13</v>
      </c>
      <c r="B42" s="40" t="s">
        <v>175</v>
      </c>
      <c r="C42" s="51">
        <v>1</v>
      </c>
      <c r="D42" s="51">
        <v>300</v>
      </c>
      <c r="E42" s="51">
        <f t="shared" si="0"/>
        <v>400</v>
      </c>
      <c r="F42" s="51">
        <f t="shared" ref="F42:H42" si="11">E42+200</f>
        <v>600</v>
      </c>
      <c r="G42" s="51">
        <f t="shared" si="11"/>
        <v>800</v>
      </c>
      <c r="H42" s="51">
        <f t="shared" si="11"/>
        <v>1000</v>
      </c>
    </row>
    <row r="43" spans="1:8" x14ac:dyDescent="0.25">
      <c r="A43" s="51">
        <v>14</v>
      </c>
      <c r="B43" s="40" t="s">
        <v>166</v>
      </c>
      <c r="C43" s="51">
        <v>1</v>
      </c>
      <c r="D43" s="51">
        <v>200</v>
      </c>
      <c r="E43" s="51">
        <f t="shared" si="0"/>
        <v>300</v>
      </c>
      <c r="F43" s="51">
        <f t="shared" ref="F43:H43" si="12">E43+200</f>
        <v>500</v>
      </c>
      <c r="G43" s="51">
        <f t="shared" si="12"/>
        <v>700</v>
      </c>
      <c r="H43" s="51">
        <f t="shared" si="12"/>
        <v>900</v>
      </c>
    </row>
    <row r="44" spans="1:8" x14ac:dyDescent="0.25">
      <c r="A44" s="51">
        <v>15</v>
      </c>
      <c r="B44" s="40" t="s">
        <v>180</v>
      </c>
      <c r="C44" s="51">
        <v>100</v>
      </c>
      <c r="D44" s="51">
        <v>200</v>
      </c>
      <c r="E44" s="51">
        <v>200</v>
      </c>
      <c r="F44" s="51">
        <v>200</v>
      </c>
      <c r="G44" s="51">
        <v>200</v>
      </c>
      <c r="H44" s="51">
        <v>200</v>
      </c>
    </row>
    <row r="45" spans="1:8" x14ac:dyDescent="0.25">
      <c r="A45" s="51">
        <v>16</v>
      </c>
      <c r="B45" s="40" t="s">
        <v>169</v>
      </c>
      <c r="C45" s="51">
        <v>100</v>
      </c>
      <c r="D45" s="51">
        <v>200</v>
      </c>
      <c r="E45" s="51">
        <v>200</v>
      </c>
      <c r="F45" s="51">
        <v>200</v>
      </c>
      <c r="G45" s="51">
        <v>200</v>
      </c>
      <c r="H45" s="51">
        <v>200</v>
      </c>
    </row>
    <row r="46" spans="1:8" x14ac:dyDescent="0.25">
      <c r="A46" s="51">
        <v>17</v>
      </c>
      <c r="B46" s="40" t="s">
        <v>179</v>
      </c>
      <c r="C46" s="51">
        <v>100</v>
      </c>
      <c r="D46" s="51">
        <v>200</v>
      </c>
      <c r="E46" s="51">
        <v>200</v>
      </c>
      <c r="F46" s="51">
        <v>200</v>
      </c>
      <c r="G46" s="51">
        <v>200</v>
      </c>
      <c r="H46" s="51">
        <v>200</v>
      </c>
    </row>
    <row r="47" spans="1:8" x14ac:dyDescent="0.25">
      <c r="A47" s="51">
        <v>18</v>
      </c>
      <c r="B47" s="40" t="s">
        <v>172</v>
      </c>
      <c r="C47" s="51">
        <v>100</v>
      </c>
      <c r="D47" s="51">
        <v>200</v>
      </c>
      <c r="E47" s="51">
        <v>200</v>
      </c>
      <c r="F47" s="51">
        <v>200</v>
      </c>
      <c r="G47" s="51">
        <v>200</v>
      </c>
      <c r="H47" s="51">
        <v>200</v>
      </c>
    </row>
    <row r="48" spans="1:8" x14ac:dyDescent="0.25">
      <c r="A48" s="51">
        <v>19</v>
      </c>
      <c r="B48" s="40" t="s">
        <v>167</v>
      </c>
      <c r="C48" s="51">
        <v>1</v>
      </c>
      <c r="D48" s="51">
        <v>300</v>
      </c>
      <c r="E48" s="51">
        <f t="shared" ref="E48:H48" si="13">D48+200</f>
        <v>500</v>
      </c>
      <c r="F48" s="51">
        <f t="shared" si="13"/>
        <v>700</v>
      </c>
      <c r="G48" s="51">
        <f>F48+100</f>
        <v>800</v>
      </c>
      <c r="H48" s="51">
        <f t="shared" si="13"/>
        <v>1000</v>
      </c>
    </row>
    <row r="49" spans="1:8" x14ac:dyDescent="0.25">
      <c r="A49" s="51">
        <v>20</v>
      </c>
      <c r="B49" s="40" t="s">
        <v>163</v>
      </c>
      <c r="C49" s="51">
        <v>1</v>
      </c>
      <c r="D49" s="51">
        <v>800</v>
      </c>
      <c r="E49" s="51">
        <f t="shared" ref="E49:H49" si="14">D49+200</f>
        <v>1000</v>
      </c>
      <c r="F49" s="51">
        <f t="shared" si="14"/>
        <v>1200</v>
      </c>
      <c r="G49" s="51">
        <f t="shared" ref="G49:G54" si="15">F49+100</f>
        <v>1300</v>
      </c>
      <c r="H49" s="51">
        <f t="shared" si="14"/>
        <v>1500</v>
      </c>
    </row>
    <row r="50" spans="1:8" x14ac:dyDescent="0.25">
      <c r="A50" s="51">
        <v>21</v>
      </c>
      <c r="B50" s="40" t="s">
        <v>162</v>
      </c>
      <c r="C50" s="51">
        <v>1</v>
      </c>
      <c r="D50" s="51">
        <v>600</v>
      </c>
      <c r="E50" s="51">
        <f t="shared" ref="E50:H50" si="16">D50+200</f>
        <v>800</v>
      </c>
      <c r="F50" s="51">
        <f t="shared" si="16"/>
        <v>1000</v>
      </c>
      <c r="G50" s="51">
        <f t="shared" si="15"/>
        <v>1100</v>
      </c>
      <c r="H50" s="51">
        <f t="shared" si="16"/>
        <v>1300</v>
      </c>
    </row>
    <row r="51" spans="1:8" x14ac:dyDescent="0.25">
      <c r="A51" s="51">
        <v>22</v>
      </c>
      <c r="B51" s="40" t="s">
        <v>158</v>
      </c>
      <c r="C51" s="51">
        <v>1</v>
      </c>
      <c r="D51" s="51">
        <v>1000</v>
      </c>
      <c r="E51" s="51">
        <f t="shared" ref="E51:H51" si="17">D51+200</f>
        <v>1200</v>
      </c>
      <c r="F51" s="51">
        <f t="shared" si="17"/>
        <v>1400</v>
      </c>
      <c r="G51" s="51">
        <f t="shared" si="15"/>
        <v>1500</v>
      </c>
      <c r="H51" s="51">
        <f t="shared" si="17"/>
        <v>1700</v>
      </c>
    </row>
    <row r="52" spans="1:8" x14ac:dyDescent="0.25">
      <c r="A52" s="51">
        <v>23</v>
      </c>
      <c r="B52" s="40" t="s">
        <v>164</v>
      </c>
      <c r="C52" s="51">
        <v>1</v>
      </c>
      <c r="D52" s="51">
        <v>1000</v>
      </c>
      <c r="E52" s="51">
        <f t="shared" ref="E52:H52" si="18">D52+200</f>
        <v>1200</v>
      </c>
      <c r="F52" s="51">
        <f t="shared" si="18"/>
        <v>1400</v>
      </c>
      <c r="G52" s="51">
        <f t="shared" si="15"/>
        <v>1500</v>
      </c>
      <c r="H52" s="51">
        <f t="shared" si="18"/>
        <v>1700</v>
      </c>
    </row>
    <row r="53" spans="1:8" x14ac:dyDescent="0.25">
      <c r="A53" s="51">
        <v>24</v>
      </c>
      <c r="B53" s="40" t="s">
        <v>160</v>
      </c>
      <c r="C53" s="51">
        <v>1</v>
      </c>
      <c r="D53" s="51">
        <v>1000</v>
      </c>
      <c r="E53" s="51">
        <f t="shared" ref="E53:H53" si="19">D53+200</f>
        <v>1200</v>
      </c>
      <c r="F53" s="51">
        <f t="shared" si="19"/>
        <v>1400</v>
      </c>
      <c r="G53" s="51">
        <f t="shared" si="15"/>
        <v>1500</v>
      </c>
      <c r="H53" s="51">
        <f t="shared" si="19"/>
        <v>1700</v>
      </c>
    </row>
    <row r="54" spans="1:8" x14ac:dyDescent="0.25">
      <c r="A54" s="51">
        <v>25</v>
      </c>
      <c r="B54" s="40" t="s">
        <v>161</v>
      </c>
      <c r="C54" s="51">
        <v>1</v>
      </c>
      <c r="D54" s="51">
        <v>800</v>
      </c>
      <c r="E54" s="51">
        <f t="shared" ref="E54" si="20">D54+200</f>
        <v>1000</v>
      </c>
      <c r="F54" s="51">
        <f t="shared" ref="F54" si="21">E54+200</f>
        <v>1200</v>
      </c>
      <c r="G54" s="51">
        <f t="shared" si="15"/>
        <v>1300</v>
      </c>
      <c r="H54" s="51">
        <f t="shared" ref="H54" si="22">G54+200</f>
        <v>1500</v>
      </c>
    </row>
  </sheetData>
  <autoFilter ref="A29:H54"/>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39"/>
  <sheetViews>
    <sheetView topLeftCell="B1" zoomScale="70" zoomScaleNormal="70" workbookViewId="0">
      <selection activeCell="B5" sqref="B5"/>
    </sheetView>
  </sheetViews>
  <sheetFormatPr defaultRowHeight="15" x14ac:dyDescent="0.25"/>
  <cols>
    <col min="2" max="2" width="38.85546875" customWidth="1"/>
    <col min="3" max="3" width="15.5703125" customWidth="1"/>
    <col min="4" max="4" width="35.85546875" customWidth="1"/>
    <col min="5" max="7" width="14.42578125" customWidth="1"/>
    <col min="8" max="8" width="8.85546875" customWidth="1"/>
    <col min="9" max="9" width="9.5703125" customWidth="1"/>
    <col min="10" max="11" width="9.140625" customWidth="1"/>
    <col min="12" max="12" width="14.85546875" customWidth="1"/>
    <col min="13" max="13" width="15.42578125" customWidth="1"/>
    <col min="14" max="14" width="9.140625" customWidth="1"/>
    <col min="15" max="15" width="15.7109375" customWidth="1"/>
    <col min="16" max="16" width="16.42578125" customWidth="1"/>
    <col min="17" max="17" width="23.42578125" customWidth="1"/>
    <col min="18" max="18" width="20" customWidth="1"/>
    <col min="19" max="19" width="20.7109375" customWidth="1"/>
    <col min="20" max="20" width="15.7109375" customWidth="1"/>
    <col min="21" max="21" width="25.42578125" bestFit="1" customWidth="1"/>
    <col min="22" max="22" width="12" bestFit="1" customWidth="1"/>
    <col min="23" max="23" width="17.28515625" bestFit="1" customWidth="1"/>
    <col min="24" max="24" width="131.5703125" bestFit="1" customWidth="1"/>
  </cols>
  <sheetData>
    <row r="1" spans="1:24" x14ac:dyDescent="0.25"/>
    <row r="2" spans="1:24" x14ac:dyDescent="0.25">
      <c r="E2" s="104" t="s">
        <v>30</v>
      </c>
      <c r="F2" s="104"/>
      <c r="G2" s="104"/>
      <c r="H2" s="104"/>
      <c r="I2" s="104"/>
      <c r="J2" s="104"/>
      <c r="K2" s="104"/>
      <c r="L2" s="104"/>
      <c r="M2" s="104"/>
    </row>
    <row r="4" spans="1:24" ht="15.75" x14ac:dyDescent="0.25">
      <c r="A4" s="105" t="s">
        <v>182</v>
      </c>
      <c r="B4" s="105"/>
      <c r="C4" s="105"/>
      <c r="D4" s="105"/>
      <c r="E4" s="105"/>
      <c r="F4" s="105"/>
      <c r="G4" s="105"/>
      <c r="H4" s="105"/>
      <c r="I4" s="105"/>
      <c r="J4" s="105"/>
      <c r="K4" s="105"/>
      <c r="L4" s="105"/>
      <c r="M4" s="105"/>
      <c r="N4" s="105"/>
      <c r="O4" s="105"/>
      <c r="P4" s="105"/>
      <c r="Q4" s="105"/>
      <c r="R4" s="105"/>
      <c r="S4" s="105"/>
      <c r="T4" s="105"/>
      <c r="U4" s="105"/>
    </row>
    <row r="5" spans="1:24" ht="45" x14ac:dyDescent="0.25">
      <c r="A5" s="5" t="s">
        <v>8</v>
      </c>
      <c r="B5" s="72" t="s">
        <v>6</v>
      </c>
      <c r="C5" s="6" t="s">
        <v>157</v>
      </c>
      <c r="D5" s="6" t="s">
        <v>9</v>
      </c>
      <c r="E5" s="6" t="s">
        <v>10</v>
      </c>
      <c r="F5" s="6" t="s">
        <v>185</v>
      </c>
      <c r="G5" s="6" t="s">
        <v>11</v>
      </c>
      <c r="H5" s="6" t="s">
        <v>12</v>
      </c>
      <c r="I5" s="6" t="s">
        <v>13</v>
      </c>
      <c r="J5" s="6" t="s">
        <v>14</v>
      </c>
      <c r="K5" s="6" t="s">
        <v>15</v>
      </c>
      <c r="L5" s="6" t="s">
        <v>16</v>
      </c>
      <c r="M5" s="6" t="s">
        <v>17</v>
      </c>
      <c r="N5" s="6" t="s">
        <v>18</v>
      </c>
      <c r="O5" s="6" t="s">
        <v>19</v>
      </c>
      <c r="P5" s="72" t="s">
        <v>20</v>
      </c>
      <c r="Q5" s="6" t="s">
        <v>21</v>
      </c>
      <c r="R5" s="6" t="s">
        <v>22</v>
      </c>
      <c r="S5" s="6" t="s">
        <v>23</v>
      </c>
      <c r="T5" s="6" t="s">
        <v>24</v>
      </c>
      <c r="U5" s="6" t="s">
        <v>25</v>
      </c>
    </row>
    <row r="6" spans="1:24" ht="75" customHeight="1" x14ac:dyDescent="0.25">
      <c r="A6" s="7">
        <v>1</v>
      </c>
      <c r="B6" s="27" t="str">
        <f>'BD SHEET FROM COMPANY'!B5</f>
        <v>RMS UNLOADING PLATFORM</v>
      </c>
      <c r="C6" s="28">
        <v>1</v>
      </c>
      <c r="D6" s="8" t="s">
        <v>158</v>
      </c>
      <c r="E6" s="9">
        <f>'BD SHEET FROM COMPANY'!K5</f>
        <v>7101.5999999999995</v>
      </c>
      <c r="F6" s="9"/>
      <c r="G6" s="95">
        <f>E6/10.7639</f>
        <v>659.76086734362082</v>
      </c>
      <c r="H6" s="10">
        <f>'BD SHEET FROM COMPANY'!E5</f>
        <v>20</v>
      </c>
      <c r="I6" s="30">
        <f>H6/3.281</f>
        <v>6.0957025297165499</v>
      </c>
      <c r="J6" s="31">
        <f>'BD SHEET FROM COMPANY'!F5</f>
        <v>1991</v>
      </c>
      <c r="K6" s="11">
        <v>2022</v>
      </c>
      <c r="L6" s="10">
        <f>K6-J6</f>
        <v>31</v>
      </c>
      <c r="M6" s="11">
        <v>60</v>
      </c>
      <c r="N6" s="12">
        <v>0.1</v>
      </c>
      <c r="O6" s="13">
        <f t="shared" ref="O6:O69" si="0">(1-N6)/M6</f>
        <v>1.5000000000000001E-2</v>
      </c>
      <c r="P6" s="25">
        <f>IF((H6&lt;=5),VLOOKUP(D6,'building rates'!$B$30:$H$54,2,FALSE),IF(AND(H6&gt;5,H6&lt;=12),VLOOKUP(D6,'building rates'!$B$30:$H$54,3,FALSE),IF(AND(H6&gt;12,H6&lt;=15),VLOOKUP(D6,'building rates'!$B$30:$H$54,4,FALSE),IF(AND(H6&gt;15,H6&lt;=20),VLOOKUP(D6,'building rates'!$B$30:$H$54,5,FALSE),IF(AND(H6&gt;20,H6&lt;=25),VLOOKUP(D6,'building rates'!$B$30:$H$54,6,FALSE),IF(H6&gt;25,VLOOKUP(D6,'building rates'!$B$30:$H$54,7,FALSE),0))))))</f>
        <v>1400</v>
      </c>
      <c r="Q6" s="14">
        <f t="shared" ref="Q6:Q69" si="1">P6*E6</f>
        <v>9942240</v>
      </c>
      <c r="R6" s="14">
        <f t="shared" ref="R6:R69" si="2">Q6*O6*L6</f>
        <v>4623141.6000000006</v>
      </c>
      <c r="S6" s="14">
        <f t="shared" ref="S6" si="3">MAX(Q6-R6,0)</f>
        <v>5319098.3999999994</v>
      </c>
      <c r="T6" s="15">
        <v>0.25</v>
      </c>
      <c r="U6" s="14">
        <f>IF(S6&gt;N6*Q6,S6*(1-T6),Q6*N6)</f>
        <v>3989323.8</v>
      </c>
      <c r="V6" s="3">
        <f>U6/E6</f>
        <v>561.75</v>
      </c>
      <c r="W6" s="38" t="s">
        <v>158</v>
      </c>
      <c r="X6" s="40"/>
    </row>
    <row r="7" spans="1:24" ht="105" customHeight="1" x14ac:dyDescent="0.25">
      <c r="A7" s="7">
        <v>2</v>
      </c>
      <c r="B7" s="27" t="str">
        <f>'BD SHEET FROM COMPANY'!B6</f>
        <v>RMS GODOWNS</v>
      </c>
      <c r="C7" s="29">
        <v>1</v>
      </c>
      <c r="D7" s="8" t="s">
        <v>159</v>
      </c>
      <c r="E7" s="9">
        <f>'BD SHEET FROM COMPANY'!K6</f>
        <v>68218.399999999994</v>
      </c>
      <c r="F7" s="9"/>
      <c r="G7" s="95">
        <f t="shared" ref="G7:G70" si="4">E7/10.7639</f>
        <v>6337.7028772099329</v>
      </c>
      <c r="H7" s="10">
        <f>'BD SHEET FROM COMPANY'!E6</f>
        <v>29.951999999999998</v>
      </c>
      <c r="I7" s="30">
        <f t="shared" ref="I7:I70" si="5">H7/3.281</f>
        <v>9.1289241085035044</v>
      </c>
      <c r="J7" s="31">
        <f>'BD SHEET FROM COMPANY'!F6</f>
        <v>1991</v>
      </c>
      <c r="K7" s="11">
        <v>2022</v>
      </c>
      <c r="L7" s="10">
        <f t="shared" ref="L7:L70" si="6">K7-J7</f>
        <v>31</v>
      </c>
      <c r="M7" s="11">
        <v>40</v>
      </c>
      <c r="N7" s="12">
        <v>0.1</v>
      </c>
      <c r="O7" s="13">
        <f t="shared" si="0"/>
        <v>2.2499999999999999E-2</v>
      </c>
      <c r="P7" s="25">
        <f>IF((H7&lt;=5),VLOOKUP(D7,'building rates'!$B$30:$H$54,2,FALSE),IF(AND(H7&gt;5,H7&lt;=12),VLOOKUP(D7,'building rates'!$B$30:$H$54,3,FALSE),IF(AND(H7&gt;12,H7&lt;=15),VLOOKUP(D7,'building rates'!$B$30:$H$54,4,FALSE),IF(AND(H7&gt;15,H7&lt;=20),VLOOKUP(D7,'building rates'!$B$30:$H$54,5,FALSE),IF(AND(H7&gt;20,H7&lt;=25),VLOOKUP(D7,'building rates'!$B$30:$H$54,6,FALSE),IF(H7&gt;25,VLOOKUP(D7,'building rates'!$B$30:$H$54,7,FALSE),0))))))</f>
        <v>1100</v>
      </c>
      <c r="Q7" s="14">
        <f t="shared" si="1"/>
        <v>75040240</v>
      </c>
      <c r="R7" s="14">
        <f t="shared" si="2"/>
        <v>52340567.399999999</v>
      </c>
      <c r="S7" s="14">
        <f t="shared" ref="S7:S70" si="7">MAX(Q7-R7,0)</f>
        <v>22699672.600000001</v>
      </c>
      <c r="T7" s="15">
        <v>0.25</v>
      </c>
      <c r="U7" s="14">
        <f t="shared" ref="U7:U70" si="8">IF(S7&gt;N7*Q7,S7*(1-T7),Q7*N7)</f>
        <v>17024754.450000003</v>
      </c>
      <c r="V7" s="3">
        <f t="shared" ref="V7:V70" si="9">U7/E7</f>
        <v>249.56250000000006</v>
      </c>
      <c r="W7" s="39" t="s">
        <v>159</v>
      </c>
      <c r="X7" s="40"/>
    </row>
    <row r="8" spans="1:24" ht="45" customHeight="1" x14ac:dyDescent="0.25">
      <c r="A8" s="7">
        <v>3</v>
      </c>
      <c r="B8" s="27" t="str">
        <f>'BD SHEET FROM COMPANY'!B7</f>
        <v>BANBURY &amp; MIXING # 1,2 &amp; 3 BASEMENT</v>
      </c>
      <c r="C8" s="29">
        <v>1</v>
      </c>
      <c r="D8" s="8" t="s">
        <v>158</v>
      </c>
      <c r="E8" s="9">
        <f>'BD SHEET FROM COMPANY'!K7</f>
        <v>41426</v>
      </c>
      <c r="F8" s="9"/>
      <c r="G8" s="95">
        <f t="shared" si="4"/>
        <v>3848.6050595044549</v>
      </c>
      <c r="H8" s="10">
        <f>'BD SHEET FROM COMPANY'!E7</f>
        <v>20</v>
      </c>
      <c r="I8" s="30">
        <f t="shared" si="5"/>
        <v>6.0957025297165499</v>
      </c>
      <c r="J8" s="31">
        <f>'BD SHEET FROM COMPANY'!F7</f>
        <v>1991</v>
      </c>
      <c r="K8" s="11">
        <v>2022</v>
      </c>
      <c r="L8" s="10">
        <f t="shared" si="6"/>
        <v>31</v>
      </c>
      <c r="M8" s="11">
        <v>60</v>
      </c>
      <c r="N8" s="12">
        <v>0.1</v>
      </c>
      <c r="O8" s="13">
        <f t="shared" si="0"/>
        <v>1.5000000000000001E-2</v>
      </c>
      <c r="P8" s="25">
        <f>IF((H8&lt;=5),VLOOKUP(D8,'building rates'!$B$30:$H$54,2,FALSE),IF(AND(H8&gt;5,H8&lt;=12),VLOOKUP(D8,'building rates'!$B$30:$H$54,3,FALSE),IF(AND(H8&gt;12,H8&lt;=15),VLOOKUP(D8,'building rates'!$B$30:$H$54,4,FALSE),IF(AND(H8&gt;15,H8&lt;=20),VLOOKUP(D8,'building rates'!$B$30:$H$54,5,FALSE),IF(AND(H8&gt;20,H8&lt;=25),VLOOKUP(D8,'building rates'!$B$30:$H$54,6,FALSE),IF(H8&gt;25,VLOOKUP(D8,'building rates'!$B$30:$H$54,7,FALSE),0))))))</f>
        <v>1400</v>
      </c>
      <c r="Q8" s="14">
        <f t="shared" si="1"/>
        <v>57996400</v>
      </c>
      <c r="R8" s="14">
        <f t="shared" si="2"/>
        <v>26968326.000000004</v>
      </c>
      <c r="S8" s="14">
        <f t="shared" si="7"/>
        <v>31028073.999999996</v>
      </c>
      <c r="T8" s="15">
        <v>0.25</v>
      </c>
      <c r="U8" s="14">
        <f t="shared" si="8"/>
        <v>23271055.499999996</v>
      </c>
      <c r="V8" s="3">
        <f t="shared" si="9"/>
        <v>561.74999999999989</v>
      </c>
      <c r="W8" s="36"/>
      <c r="X8" s="40"/>
    </row>
    <row r="9" spans="1:24" ht="45" customHeight="1" x14ac:dyDescent="0.25">
      <c r="A9" s="7">
        <v>4</v>
      </c>
      <c r="B9" s="27" t="str">
        <f>'BD SHEET FROM COMPANY'!B8</f>
        <v>BANBURY &amp; MIXING # 1,2 &amp; 3 GROUND FLOOR</v>
      </c>
      <c r="C9" s="29">
        <v>1</v>
      </c>
      <c r="D9" s="8" t="s">
        <v>158</v>
      </c>
      <c r="E9" s="9">
        <f>'BD SHEET FROM COMPANY'!K8</f>
        <v>28998.2</v>
      </c>
      <c r="F9" s="9"/>
      <c r="G9" s="95">
        <f t="shared" si="4"/>
        <v>2694.0235416531186</v>
      </c>
      <c r="H9" s="10">
        <f>'BD SHEET FROM COMPANY'!E8</f>
        <v>20</v>
      </c>
      <c r="I9" s="30">
        <f t="shared" si="5"/>
        <v>6.0957025297165499</v>
      </c>
      <c r="J9" s="31">
        <f>'BD SHEET FROM COMPANY'!F8</f>
        <v>1991</v>
      </c>
      <c r="K9" s="11">
        <v>2022</v>
      </c>
      <c r="L9" s="10">
        <f t="shared" si="6"/>
        <v>31</v>
      </c>
      <c r="M9" s="11">
        <v>60</v>
      </c>
      <c r="N9" s="12">
        <v>0.1</v>
      </c>
      <c r="O9" s="13">
        <f t="shared" si="0"/>
        <v>1.5000000000000001E-2</v>
      </c>
      <c r="P9" s="25">
        <f>IF((H9&lt;=5),VLOOKUP(D9,'building rates'!$B$30:$H$54,2,FALSE),IF(AND(H9&gt;5,H9&lt;=12),VLOOKUP(D9,'building rates'!$B$30:$H$54,3,FALSE),IF(AND(H9&gt;12,H9&lt;=15),VLOOKUP(D9,'building rates'!$B$30:$H$54,4,FALSE),IF(AND(H9&gt;15,H9&lt;=20),VLOOKUP(D9,'building rates'!$B$30:$H$54,5,FALSE),IF(AND(H9&gt;20,H9&lt;=25),VLOOKUP(D9,'building rates'!$B$30:$H$54,6,FALSE),IF(H9&gt;25,VLOOKUP(D9,'building rates'!$B$30:$H$54,7,FALSE),0))))))</f>
        <v>1400</v>
      </c>
      <c r="Q9" s="14">
        <f t="shared" si="1"/>
        <v>40597480</v>
      </c>
      <c r="R9" s="14">
        <f t="shared" si="2"/>
        <v>18877828.200000003</v>
      </c>
      <c r="S9" s="14">
        <f t="shared" si="7"/>
        <v>21719651.799999997</v>
      </c>
      <c r="T9" s="15">
        <v>0.25</v>
      </c>
      <c r="U9" s="14">
        <f t="shared" si="8"/>
        <v>16289738.849999998</v>
      </c>
      <c r="V9" s="3">
        <f t="shared" si="9"/>
        <v>561.74999999999989</v>
      </c>
      <c r="W9" s="37"/>
      <c r="X9" s="40"/>
    </row>
    <row r="10" spans="1:24" ht="60" customHeight="1" x14ac:dyDescent="0.25">
      <c r="A10" s="7">
        <v>5</v>
      </c>
      <c r="B10" s="27" t="str">
        <f>'BD SHEET FROM COMPANY'!B9</f>
        <v>BANBURY &amp; MIXING # 1,2 &amp; 3 GROUND FLOOR</v>
      </c>
      <c r="C10" s="29">
        <v>1</v>
      </c>
      <c r="D10" s="8" t="s">
        <v>159</v>
      </c>
      <c r="E10" s="9">
        <f>'BD SHEET FROM COMPANY'!K9</f>
        <v>12427.8</v>
      </c>
      <c r="F10" s="9"/>
      <c r="G10" s="95">
        <f t="shared" si="4"/>
        <v>1154.5815178513365</v>
      </c>
      <c r="H10" s="10">
        <f>'BD SHEET FROM COMPANY'!E9</f>
        <v>29.951999999999998</v>
      </c>
      <c r="I10" s="30">
        <f t="shared" si="5"/>
        <v>9.1289241085035044</v>
      </c>
      <c r="J10" s="31">
        <f>'BD SHEET FROM COMPANY'!F9</f>
        <v>1991</v>
      </c>
      <c r="K10" s="11">
        <v>2022</v>
      </c>
      <c r="L10" s="10">
        <f t="shared" si="6"/>
        <v>31</v>
      </c>
      <c r="M10" s="11">
        <v>40</v>
      </c>
      <c r="N10" s="12">
        <v>0.1</v>
      </c>
      <c r="O10" s="13">
        <f t="shared" si="0"/>
        <v>2.2499999999999999E-2</v>
      </c>
      <c r="P10" s="25">
        <f>IF((H10&lt;=5),VLOOKUP(D10,'building rates'!$B$30:$H$54,2,FALSE),IF(AND(H10&gt;5,H10&lt;=12),VLOOKUP(D10,'building rates'!$B$30:$H$54,3,FALSE),IF(AND(H10&gt;12,H10&lt;=15),VLOOKUP(D10,'building rates'!$B$30:$H$54,4,FALSE),IF(AND(H10&gt;15,H10&lt;=20),VLOOKUP(D10,'building rates'!$B$30:$H$54,5,FALSE),IF(AND(H10&gt;20,H10&lt;=25),VLOOKUP(D10,'building rates'!$B$30:$H$54,6,FALSE),IF(H10&gt;25,VLOOKUP(D10,'building rates'!$B$30:$H$54,7,FALSE),0))))))</f>
        <v>1100</v>
      </c>
      <c r="Q10" s="14">
        <f t="shared" si="1"/>
        <v>13670580</v>
      </c>
      <c r="R10" s="14">
        <f t="shared" si="2"/>
        <v>9535229.5499999989</v>
      </c>
      <c r="S10" s="14">
        <f t="shared" si="7"/>
        <v>4135350.4500000011</v>
      </c>
      <c r="T10" s="15">
        <v>0.2</v>
      </c>
      <c r="U10" s="14">
        <f t="shared" si="8"/>
        <v>3308280.3600000013</v>
      </c>
      <c r="V10" s="3">
        <f t="shared" si="9"/>
        <v>266.2000000000001</v>
      </c>
      <c r="W10" s="37"/>
      <c r="X10" s="40"/>
    </row>
    <row r="11" spans="1:24" ht="60" customHeight="1" x14ac:dyDescent="0.25">
      <c r="A11" s="7">
        <v>6</v>
      </c>
      <c r="B11" s="27" t="str">
        <f>'BD SHEET FROM COMPANY'!B10</f>
        <v>BANBURY &amp; MIXING # 1,2 &amp; 3, 1st FLOOR</v>
      </c>
      <c r="C11" s="29">
        <v>1</v>
      </c>
      <c r="D11" s="8" t="s">
        <v>159</v>
      </c>
      <c r="E11" s="9">
        <f>'BD SHEET FROM COMPANY'!K10</f>
        <v>33140.800000000003</v>
      </c>
      <c r="F11" s="9"/>
      <c r="G11" s="95">
        <f t="shared" si="4"/>
        <v>3078.8840476035643</v>
      </c>
      <c r="H11" s="10">
        <f>'BD SHEET FROM COMPANY'!E10</f>
        <v>26.623999999999999</v>
      </c>
      <c r="I11" s="30">
        <f t="shared" si="5"/>
        <v>8.1145992075586708</v>
      </c>
      <c r="J11" s="31">
        <f>'BD SHEET FROM COMPANY'!F10</f>
        <v>1991</v>
      </c>
      <c r="K11" s="11">
        <v>2022</v>
      </c>
      <c r="L11" s="10">
        <f t="shared" si="6"/>
        <v>31</v>
      </c>
      <c r="M11" s="11">
        <v>40</v>
      </c>
      <c r="N11" s="12">
        <v>0.1</v>
      </c>
      <c r="O11" s="13">
        <f t="shared" si="0"/>
        <v>2.2499999999999999E-2</v>
      </c>
      <c r="P11" s="25">
        <f>IF((H11&lt;=5),VLOOKUP(D11,'building rates'!$B$30:$H$54,2,FALSE),IF(AND(H11&gt;5,H11&lt;=12),VLOOKUP(D11,'building rates'!$B$30:$H$54,3,FALSE),IF(AND(H11&gt;12,H11&lt;=15),VLOOKUP(D11,'building rates'!$B$30:$H$54,4,FALSE),IF(AND(H11&gt;15,H11&lt;=20),VLOOKUP(D11,'building rates'!$B$30:$H$54,5,FALSE),IF(AND(H11&gt;20,H11&lt;=25),VLOOKUP(D11,'building rates'!$B$30:$H$54,6,FALSE),IF(H11&gt;25,VLOOKUP(D11,'building rates'!$B$30:$H$54,7,FALSE),0))))))</f>
        <v>1100</v>
      </c>
      <c r="Q11" s="14">
        <f t="shared" si="1"/>
        <v>36454880</v>
      </c>
      <c r="R11" s="14">
        <f t="shared" si="2"/>
        <v>25427278.799999997</v>
      </c>
      <c r="S11" s="14">
        <f t="shared" si="7"/>
        <v>11027601.200000003</v>
      </c>
      <c r="T11" s="15">
        <v>0.25</v>
      </c>
      <c r="U11" s="14">
        <f t="shared" si="8"/>
        <v>8270700.9000000022</v>
      </c>
      <c r="V11" s="3">
        <f t="shared" si="9"/>
        <v>249.56250000000006</v>
      </c>
      <c r="W11" s="37"/>
      <c r="X11" s="40"/>
    </row>
    <row r="12" spans="1:24" ht="60" customHeight="1" x14ac:dyDescent="0.25">
      <c r="A12" s="7">
        <v>7</v>
      </c>
      <c r="B12" s="27" t="str">
        <f>'BD SHEET FROM COMPANY'!B11</f>
        <v>BANBURY &amp; MIXING # 1,2 &amp; 3, 2nd FLOOR</v>
      </c>
      <c r="C12" s="29">
        <v>1</v>
      </c>
      <c r="D12" s="8" t="s">
        <v>159</v>
      </c>
      <c r="E12" s="9">
        <f>'BD SHEET FROM COMPANY'!K11</f>
        <v>8285.2000000000007</v>
      </c>
      <c r="F12" s="9"/>
      <c r="G12" s="95">
        <f t="shared" si="4"/>
        <v>769.72101190089109</v>
      </c>
      <c r="H12" s="10">
        <f>'BD SHEET FROM COMPANY'!E11</f>
        <v>16.64</v>
      </c>
      <c r="I12" s="30">
        <f t="shared" si="5"/>
        <v>5.071624504724169</v>
      </c>
      <c r="J12" s="31">
        <f>'BD SHEET FROM COMPANY'!F11</f>
        <v>1991</v>
      </c>
      <c r="K12" s="11">
        <v>2022</v>
      </c>
      <c r="L12" s="10">
        <f t="shared" si="6"/>
        <v>31</v>
      </c>
      <c r="M12" s="11">
        <v>40</v>
      </c>
      <c r="N12" s="12">
        <v>0.1</v>
      </c>
      <c r="O12" s="13">
        <f t="shared" si="0"/>
        <v>2.2499999999999999E-2</v>
      </c>
      <c r="P12" s="25">
        <f>IF((H12&lt;=5),VLOOKUP(D12,'building rates'!$B$30:$H$54,2,FALSE),IF(AND(H12&gt;5,H12&lt;=12),VLOOKUP(D12,'building rates'!$B$30:$H$54,3,FALSE),IF(AND(H12&gt;12,H12&lt;=15),VLOOKUP(D12,'building rates'!$B$30:$H$54,4,FALSE),IF(AND(H12&gt;15,H12&lt;=20),VLOOKUP(D12,'building rates'!$B$30:$H$54,5,FALSE),IF(AND(H12&gt;20,H12&lt;=25),VLOOKUP(D12,'building rates'!$B$30:$H$54,6,FALSE),IF(H12&gt;25,VLOOKUP(D12,'building rates'!$B$30:$H$54,7,FALSE),0))))))</f>
        <v>700</v>
      </c>
      <c r="Q12" s="14">
        <f t="shared" si="1"/>
        <v>5799640.0000000009</v>
      </c>
      <c r="R12" s="14">
        <f t="shared" si="2"/>
        <v>4045248.9000000008</v>
      </c>
      <c r="S12" s="14">
        <f t="shared" si="7"/>
        <v>1754391.1</v>
      </c>
      <c r="T12" s="15">
        <v>0.2</v>
      </c>
      <c r="U12" s="14">
        <f t="shared" si="8"/>
        <v>1403512.8800000001</v>
      </c>
      <c r="V12" s="3">
        <f t="shared" si="9"/>
        <v>169.4</v>
      </c>
      <c r="W12" s="37"/>
      <c r="X12" s="40"/>
    </row>
    <row r="13" spans="1:24" ht="45" customHeight="1" x14ac:dyDescent="0.25">
      <c r="A13" s="7">
        <v>8</v>
      </c>
      <c r="B13" s="27" t="str">
        <f>'BD SHEET FROM COMPANY'!B12</f>
        <v>BANBURY &amp; MIXING # 4 BASEMENT</v>
      </c>
      <c r="C13" s="29">
        <v>1</v>
      </c>
      <c r="D13" s="8" t="s">
        <v>158</v>
      </c>
      <c r="E13" s="9">
        <f>'BD SHEET FROM COMPANY'!K12</f>
        <v>10375.33</v>
      </c>
      <c r="F13" s="16"/>
      <c r="G13" s="95">
        <f t="shared" si="4"/>
        <v>963.90063081225207</v>
      </c>
      <c r="H13" s="10">
        <f>'BD SHEET FROM COMPANY'!E12</f>
        <v>20</v>
      </c>
      <c r="I13" s="30">
        <f t="shared" si="5"/>
        <v>6.0957025297165499</v>
      </c>
      <c r="J13" s="31">
        <f>'BD SHEET FROM COMPANY'!F12</f>
        <v>2004</v>
      </c>
      <c r="K13" s="11">
        <v>2022</v>
      </c>
      <c r="L13" s="10">
        <f t="shared" si="6"/>
        <v>18</v>
      </c>
      <c r="M13" s="11">
        <v>60</v>
      </c>
      <c r="N13" s="12">
        <v>0.1</v>
      </c>
      <c r="O13" s="13">
        <f t="shared" si="0"/>
        <v>1.5000000000000001E-2</v>
      </c>
      <c r="P13" s="25">
        <f>IF((H13&lt;=5),VLOOKUP(D13,'building rates'!$B$30:$H$54,2,FALSE),IF(AND(H13&gt;5,H13&lt;=12),VLOOKUP(D13,'building rates'!$B$30:$H$54,3,FALSE),IF(AND(H13&gt;12,H13&lt;=15),VLOOKUP(D13,'building rates'!$B$30:$H$54,4,FALSE),IF(AND(H13&gt;15,H13&lt;=20),VLOOKUP(D13,'building rates'!$B$30:$H$54,5,FALSE),IF(AND(H13&gt;20,H13&lt;=25),VLOOKUP(D13,'building rates'!$B$30:$H$54,6,FALSE),IF(H13&gt;25,VLOOKUP(D13,'building rates'!$B$30:$H$54,7,FALSE),0))))))</f>
        <v>1400</v>
      </c>
      <c r="Q13" s="14">
        <f t="shared" si="1"/>
        <v>14525462</v>
      </c>
      <c r="R13" s="14">
        <f t="shared" si="2"/>
        <v>3921874.74</v>
      </c>
      <c r="S13" s="14">
        <f t="shared" si="7"/>
        <v>10603587.26</v>
      </c>
      <c r="T13" s="15">
        <v>0.2</v>
      </c>
      <c r="U13" s="14">
        <f t="shared" si="8"/>
        <v>8482869.8080000002</v>
      </c>
      <c r="V13" s="3">
        <f t="shared" si="9"/>
        <v>817.6</v>
      </c>
      <c r="W13" s="37"/>
      <c r="X13" s="40"/>
    </row>
    <row r="14" spans="1:24" ht="45" customHeight="1" x14ac:dyDescent="0.25">
      <c r="A14" s="7">
        <v>9</v>
      </c>
      <c r="B14" s="27" t="str">
        <f>'BD SHEET FROM COMPANY'!B13</f>
        <v>BANBURY &amp; MIXING # 4 GROUND FLOOR</v>
      </c>
      <c r="C14" s="29">
        <v>1</v>
      </c>
      <c r="D14" s="8" t="s">
        <v>158</v>
      </c>
      <c r="E14" s="9">
        <f>'BD SHEET FROM COMPANY'!K13</f>
        <v>14525.462</v>
      </c>
      <c r="F14" s="16"/>
      <c r="G14" s="95">
        <f t="shared" si="4"/>
        <v>1349.4608831371529</v>
      </c>
      <c r="H14" s="10">
        <f>'BD SHEET FROM COMPANY'!E13</f>
        <v>20</v>
      </c>
      <c r="I14" s="30">
        <f t="shared" si="5"/>
        <v>6.0957025297165499</v>
      </c>
      <c r="J14" s="31">
        <f>'BD SHEET FROM COMPANY'!F13</f>
        <v>2004</v>
      </c>
      <c r="K14" s="11">
        <v>2022</v>
      </c>
      <c r="L14" s="10">
        <f t="shared" si="6"/>
        <v>18</v>
      </c>
      <c r="M14" s="11">
        <v>60</v>
      </c>
      <c r="N14" s="12">
        <v>0.1</v>
      </c>
      <c r="O14" s="13">
        <f t="shared" si="0"/>
        <v>1.5000000000000001E-2</v>
      </c>
      <c r="P14" s="25">
        <f>IF((H14&lt;=5),VLOOKUP(D14,'building rates'!$B$30:$H$54,2,FALSE),IF(AND(H14&gt;5,H14&lt;=12),VLOOKUP(D14,'building rates'!$B$30:$H$54,3,FALSE),IF(AND(H14&gt;12,H14&lt;=15),VLOOKUP(D14,'building rates'!$B$30:$H$54,4,FALSE),IF(AND(H14&gt;15,H14&lt;=20),VLOOKUP(D14,'building rates'!$B$30:$H$54,5,FALSE),IF(AND(H14&gt;20,H14&lt;=25),VLOOKUP(D14,'building rates'!$B$30:$H$54,6,FALSE),IF(H14&gt;25,VLOOKUP(D14,'building rates'!$B$30:$H$54,7,FALSE),0))))))</f>
        <v>1400</v>
      </c>
      <c r="Q14" s="14">
        <f t="shared" si="1"/>
        <v>20335646.800000001</v>
      </c>
      <c r="R14" s="14">
        <f t="shared" si="2"/>
        <v>5490624.6360000009</v>
      </c>
      <c r="S14" s="14">
        <f t="shared" si="7"/>
        <v>14845022.164000001</v>
      </c>
      <c r="T14" s="15">
        <v>0.25</v>
      </c>
      <c r="U14" s="14">
        <f t="shared" si="8"/>
        <v>11133766.623</v>
      </c>
      <c r="V14" s="3">
        <f t="shared" si="9"/>
        <v>766.5</v>
      </c>
      <c r="W14" s="37"/>
      <c r="X14" s="40"/>
    </row>
    <row r="15" spans="1:24" ht="60" customHeight="1" x14ac:dyDescent="0.25">
      <c r="A15" s="7">
        <v>10</v>
      </c>
      <c r="B15" s="27" t="str">
        <f>'BD SHEET FROM COMPANY'!B14</f>
        <v>BANBURY &amp; MIXING # 4 GROUND FLOOR</v>
      </c>
      <c r="C15" s="29">
        <v>1</v>
      </c>
      <c r="D15" s="8" t="s">
        <v>159</v>
      </c>
      <c r="E15" s="9">
        <f>'BD SHEET FROM COMPANY'!K14</f>
        <v>6213.9</v>
      </c>
      <c r="F15" s="9"/>
      <c r="G15" s="95">
        <f t="shared" si="4"/>
        <v>577.29075892566823</v>
      </c>
      <c r="H15" s="10">
        <f>'BD SHEET FROM COMPANY'!E14</f>
        <v>29.951999999999998</v>
      </c>
      <c r="I15" s="30">
        <f t="shared" si="5"/>
        <v>9.1289241085035044</v>
      </c>
      <c r="J15" s="31">
        <f>'BD SHEET FROM COMPANY'!F14</f>
        <v>2004</v>
      </c>
      <c r="K15" s="11">
        <v>2022</v>
      </c>
      <c r="L15" s="10">
        <f t="shared" si="6"/>
        <v>18</v>
      </c>
      <c r="M15" s="11">
        <v>40</v>
      </c>
      <c r="N15" s="12">
        <v>0.1</v>
      </c>
      <c r="O15" s="13">
        <f t="shared" si="0"/>
        <v>2.2499999999999999E-2</v>
      </c>
      <c r="P15" s="25">
        <f>IF((H15&lt;=5),VLOOKUP(D15,'building rates'!$B$30:$H$54,2,FALSE),IF(AND(H15&gt;5,H15&lt;=12),VLOOKUP(D15,'building rates'!$B$30:$H$54,3,FALSE),IF(AND(H15&gt;12,H15&lt;=15),VLOOKUP(D15,'building rates'!$B$30:$H$54,4,FALSE),IF(AND(H15&gt;15,H15&lt;=20),VLOOKUP(D15,'building rates'!$B$30:$H$54,5,FALSE),IF(AND(H15&gt;20,H15&lt;=25),VLOOKUP(D15,'building rates'!$B$30:$H$54,6,FALSE),IF(H15&gt;25,VLOOKUP(D15,'building rates'!$B$30:$H$54,7,FALSE),0))))))</f>
        <v>1100</v>
      </c>
      <c r="Q15" s="14">
        <f t="shared" si="1"/>
        <v>6835290</v>
      </c>
      <c r="R15" s="14">
        <f t="shared" si="2"/>
        <v>2768292.4499999997</v>
      </c>
      <c r="S15" s="14">
        <f t="shared" si="7"/>
        <v>4066997.5500000003</v>
      </c>
      <c r="T15" s="15">
        <v>0.2</v>
      </c>
      <c r="U15" s="14">
        <f t="shared" si="8"/>
        <v>3253598.0400000005</v>
      </c>
      <c r="V15" s="3">
        <f t="shared" si="9"/>
        <v>523.60000000000014</v>
      </c>
      <c r="X15" s="40"/>
    </row>
    <row r="16" spans="1:24" ht="60" customHeight="1" x14ac:dyDescent="0.25">
      <c r="A16" s="7">
        <v>11</v>
      </c>
      <c r="B16" s="27" t="str">
        <f>'BD SHEET FROM COMPANY'!B15</f>
        <v>BANBURY &amp; MIXING # 4, 1st FLOOR</v>
      </c>
      <c r="C16" s="29">
        <v>1</v>
      </c>
      <c r="D16" s="8" t="s">
        <v>159</v>
      </c>
      <c r="E16" s="9">
        <f>'BD SHEET FROM COMPANY'!K15</f>
        <v>20713</v>
      </c>
      <c r="F16" s="9"/>
      <c r="G16" s="95">
        <f t="shared" si="4"/>
        <v>1924.3025297522274</v>
      </c>
      <c r="H16" s="10">
        <f>'BD SHEET FROM COMPANY'!E15</f>
        <v>29.951999999999998</v>
      </c>
      <c r="I16" s="30">
        <f t="shared" si="5"/>
        <v>9.1289241085035044</v>
      </c>
      <c r="J16" s="31">
        <f>'BD SHEET FROM COMPANY'!F15</f>
        <v>2004</v>
      </c>
      <c r="K16" s="11">
        <v>2022</v>
      </c>
      <c r="L16" s="10">
        <f t="shared" si="6"/>
        <v>18</v>
      </c>
      <c r="M16" s="11">
        <v>40</v>
      </c>
      <c r="N16" s="12">
        <v>0.1</v>
      </c>
      <c r="O16" s="13">
        <f t="shared" si="0"/>
        <v>2.2499999999999999E-2</v>
      </c>
      <c r="P16" s="25">
        <f>IF((H16&lt;=5),VLOOKUP(D16,'building rates'!$B$30:$H$54,2,FALSE),IF(AND(H16&gt;5,H16&lt;=12),VLOOKUP(D16,'building rates'!$B$30:$H$54,3,FALSE),IF(AND(H16&gt;12,H16&lt;=15),VLOOKUP(D16,'building rates'!$B$30:$H$54,4,FALSE),IF(AND(H16&gt;15,H16&lt;=20),VLOOKUP(D16,'building rates'!$B$30:$H$54,5,FALSE),IF(AND(H16&gt;20,H16&lt;=25),VLOOKUP(D16,'building rates'!$B$30:$H$54,6,FALSE),IF(H16&gt;25,VLOOKUP(D16,'building rates'!$B$30:$H$54,7,FALSE),0))))))</f>
        <v>1100</v>
      </c>
      <c r="Q16" s="14">
        <f t="shared" si="1"/>
        <v>22784300</v>
      </c>
      <c r="R16" s="14">
        <f t="shared" si="2"/>
        <v>9227641.5</v>
      </c>
      <c r="S16" s="14">
        <f t="shared" si="7"/>
        <v>13556658.5</v>
      </c>
      <c r="T16" s="15">
        <v>0.25</v>
      </c>
      <c r="U16" s="14">
        <f t="shared" si="8"/>
        <v>10167493.875</v>
      </c>
      <c r="V16" s="3">
        <f t="shared" si="9"/>
        <v>490.875</v>
      </c>
      <c r="X16" s="40"/>
    </row>
    <row r="17" spans="1:24" ht="60" customHeight="1" x14ac:dyDescent="0.25">
      <c r="A17" s="7">
        <v>12</v>
      </c>
      <c r="B17" s="27" t="str">
        <f>'BD SHEET FROM COMPANY'!B16</f>
        <v>BANBURY &amp; MIXING # 4, 2nd FLOOR</v>
      </c>
      <c r="C17" s="29">
        <v>1</v>
      </c>
      <c r="D17" s="8" t="s">
        <v>159</v>
      </c>
      <c r="E17" s="9">
        <f>'BD SHEET FROM COMPANY'!K16</f>
        <v>4142.6000000000004</v>
      </c>
      <c r="F17" s="9"/>
      <c r="G17" s="95">
        <f t="shared" si="4"/>
        <v>384.86050595044554</v>
      </c>
      <c r="H17" s="10">
        <f>'BD SHEET FROM COMPANY'!E16</f>
        <v>16.64</v>
      </c>
      <c r="I17" s="30">
        <f t="shared" si="5"/>
        <v>5.071624504724169</v>
      </c>
      <c r="J17" s="31">
        <f>'BD SHEET FROM COMPANY'!F16</f>
        <v>2004</v>
      </c>
      <c r="K17" s="11">
        <v>2022</v>
      </c>
      <c r="L17" s="10">
        <f t="shared" si="6"/>
        <v>18</v>
      </c>
      <c r="M17" s="11">
        <v>40</v>
      </c>
      <c r="N17" s="12">
        <v>0.1</v>
      </c>
      <c r="O17" s="13">
        <f t="shared" si="0"/>
        <v>2.2499999999999999E-2</v>
      </c>
      <c r="P17" s="25">
        <f>IF((H17&lt;=5),VLOOKUP(D17,'building rates'!$B$30:$H$54,2,FALSE),IF(AND(H17&gt;5,H17&lt;=12),VLOOKUP(D17,'building rates'!$B$30:$H$54,3,FALSE),IF(AND(H17&gt;12,H17&lt;=15),VLOOKUP(D17,'building rates'!$B$30:$H$54,4,FALSE),IF(AND(H17&gt;15,H17&lt;=20),VLOOKUP(D17,'building rates'!$B$30:$H$54,5,FALSE),IF(AND(H17&gt;20,H17&lt;=25),VLOOKUP(D17,'building rates'!$B$30:$H$54,6,FALSE),IF(H17&gt;25,VLOOKUP(D17,'building rates'!$B$30:$H$54,7,FALSE),0))))))</f>
        <v>700</v>
      </c>
      <c r="Q17" s="14">
        <f t="shared" si="1"/>
        <v>2899820.0000000005</v>
      </c>
      <c r="R17" s="14">
        <f t="shared" si="2"/>
        <v>1174427.1000000001</v>
      </c>
      <c r="S17" s="14">
        <f t="shared" si="7"/>
        <v>1725392.9000000004</v>
      </c>
      <c r="T17" s="15">
        <v>0.2</v>
      </c>
      <c r="U17" s="14">
        <f t="shared" si="8"/>
        <v>1380314.3200000003</v>
      </c>
      <c r="V17" s="3">
        <f t="shared" si="9"/>
        <v>333.20000000000005</v>
      </c>
      <c r="X17" s="40"/>
    </row>
    <row r="18" spans="1:24" ht="60" customHeight="1" x14ac:dyDescent="0.25">
      <c r="A18" s="7">
        <v>13</v>
      </c>
      <c r="B18" s="27" t="str">
        <f>'BD SHEET FROM COMPANY'!B17</f>
        <v>DIP UNIT</v>
      </c>
      <c r="C18" s="29">
        <v>1</v>
      </c>
      <c r="D18" s="8" t="s">
        <v>159</v>
      </c>
      <c r="E18" s="9">
        <f>'BD SHEET FROM COMPANY'!K17</f>
        <v>20713</v>
      </c>
      <c r="F18" s="9"/>
      <c r="G18" s="95">
        <f t="shared" si="4"/>
        <v>1924.3025297522274</v>
      </c>
      <c r="H18" s="10">
        <f>'BD SHEET FROM COMPANY'!E17</f>
        <v>79.872</v>
      </c>
      <c r="I18" s="30">
        <f t="shared" si="5"/>
        <v>24.343797622676011</v>
      </c>
      <c r="J18" s="31">
        <f>'BD SHEET FROM COMPANY'!F17</f>
        <v>1991</v>
      </c>
      <c r="K18" s="11">
        <v>2022</v>
      </c>
      <c r="L18" s="10">
        <f t="shared" si="6"/>
        <v>31</v>
      </c>
      <c r="M18" s="11">
        <v>40</v>
      </c>
      <c r="N18" s="12">
        <v>0.1</v>
      </c>
      <c r="O18" s="13">
        <f t="shared" si="0"/>
        <v>2.2499999999999999E-2</v>
      </c>
      <c r="P18" s="25">
        <f>IF((H18&lt;=5),VLOOKUP(D18,'building rates'!$B$30:$H$54,2,FALSE),IF(AND(H18&gt;5,H18&lt;=12),VLOOKUP(D18,'building rates'!$B$30:$H$54,3,FALSE),IF(AND(H18&gt;12,H18&lt;=15),VLOOKUP(D18,'building rates'!$B$30:$H$54,4,FALSE),IF(AND(H18&gt;15,H18&lt;=20),VLOOKUP(D18,'building rates'!$B$30:$H$54,5,FALSE),IF(AND(H18&gt;20,H18&lt;=25),VLOOKUP(D18,'building rates'!$B$30:$H$54,6,FALSE),IF(H18&gt;25,VLOOKUP(D18,'building rates'!$B$30:$H$54,7,FALSE),0))))))</f>
        <v>1100</v>
      </c>
      <c r="Q18" s="14">
        <f t="shared" si="1"/>
        <v>22784300</v>
      </c>
      <c r="R18" s="14">
        <f t="shared" si="2"/>
        <v>15892049.25</v>
      </c>
      <c r="S18" s="14">
        <f t="shared" si="7"/>
        <v>6892250.75</v>
      </c>
      <c r="T18" s="15">
        <v>0.2</v>
      </c>
      <c r="U18" s="14">
        <f t="shared" si="8"/>
        <v>5513800.6000000006</v>
      </c>
      <c r="V18" s="3">
        <f t="shared" si="9"/>
        <v>266.20000000000005</v>
      </c>
      <c r="X18" s="40"/>
    </row>
    <row r="19" spans="1:24" ht="60" customHeight="1" x14ac:dyDescent="0.25">
      <c r="A19" s="7">
        <v>14</v>
      </c>
      <c r="B19" s="27" t="str">
        <f>'BD SHEET FROM COMPANY'!B18</f>
        <v>THERMOPACK</v>
      </c>
      <c r="C19" s="29">
        <v>1</v>
      </c>
      <c r="D19" s="8" t="s">
        <v>159</v>
      </c>
      <c r="E19" s="9">
        <f>'BD SHEET FROM COMPANY'!K18</f>
        <v>4217.92</v>
      </c>
      <c r="F19" s="9"/>
      <c r="G19" s="95">
        <f t="shared" si="4"/>
        <v>391.85796969499904</v>
      </c>
      <c r="H19" s="10">
        <f>'BD SHEET FROM COMPANY'!E18</f>
        <v>66</v>
      </c>
      <c r="I19" s="30">
        <f t="shared" si="5"/>
        <v>20.115818348064614</v>
      </c>
      <c r="J19" s="31">
        <f>'BD SHEET FROM COMPANY'!F18</f>
        <v>1991</v>
      </c>
      <c r="K19" s="11">
        <v>2022</v>
      </c>
      <c r="L19" s="10">
        <f t="shared" si="6"/>
        <v>31</v>
      </c>
      <c r="M19" s="11">
        <v>40</v>
      </c>
      <c r="N19" s="12">
        <v>0.1</v>
      </c>
      <c r="O19" s="13">
        <f t="shared" si="0"/>
        <v>2.2499999999999999E-2</v>
      </c>
      <c r="P19" s="25">
        <f>IF((H19&lt;=5),VLOOKUP(D19,'building rates'!$B$30:$H$54,2,FALSE),IF(AND(H19&gt;5,H19&lt;=12),VLOOKUP(D19,'building rates'!$B$30:$H$54,3,FALSE),IF(AND(H19&gt;12,H19&lt;=15),VLOOKUP(D19,'building rates'!$B$30:$H$54,4,FALSE),IF(AND(H19&gt;15,H19&lt;=20),VLOOKUP(D19,'building rates'!$B$30:$H$54,5,FALSE),IF(AND(H19&gt;20,H19&lt;=25),VLOOKUP(D19,'building rates'!$B$30:$H$54,6,FALSE),IF(H19&gt;25,VLOOKUP(D19,'building rates'!$B$30:$H$54,7,FALSE),0))))))</f>
        <v>1100</v>
      </c>
      <c r="Q19" s="14">
        <f t="shared" si="1"/>
        <v>4639712</v>
      </c>
      <c r="R19" s="14">
        <f t="shared" si="2"/>
        <v>3236199.1199999996</v>
      </c>
      <c r="S19" s="14">
        <f t="shared" si="7"/>
        <v>1403512.8800000004</v>
      </c>
      <c r="T19" s="15">
        <v>0.2</v>
      </c>
      <c r="U19" s="14">
        <f t="shared" si="8"/>
        <v>1122810.3040000002</v>
      </c>
      <c r="V19" s="3">
        <f t="shared" si="9"/>
        <v>266.20000000000005</v>
      </c>
      <c r="X19" s="40"/>
    </row>
    <row r="20" spans="1:24" ht="90" customHeight="1" x14ac:dyDescent="0.25">
      <c r="A20" s="7">
        <v>15</v>
      </c>
      <c r="B20" s="27" t="str">
        <f>'BD SHEET FROM COMPANY'!B19</f>
        <v>STOCK PREPARATION: 4-ROLL CALENDAR / DUAL EXTRUDER</v>
      </c>
      <c r="C20" s="29">
        <v>1</v>
      </c>
      <c r="D20" s="8" t="s">
        <v>160</v>
      </c>
      <c r="E20" s="9">
        <f>'BD SHEET FROM COMPANY'!K19</f>
        <v>52724</v>
      </c>
      <c r="F20" s="9"/>
      <c r="G20" s="95">
        <f t="shared" si="4"/>
        <v>4898.2246211874881</v>
      </c>
      <c r="H20" s="10">
        <f>'BD SHEET FROM COMPANY'!E19</f>
        <v>38.271999999999998</v>
      </c>
      <c r="I20" s="30">
        <f t="shared" si="5"/>
        <v>11.664736360865589</v>
      </c>
      <c r="J20" s="31">
        <f>'BD SHEET FROM COMPANY'!F19</f>
        <v>1991</v>
      </c>
      <c r="K20" s="11">
        <v>2022</v>
      </c>
      <c r="L20" s="10">
        <f t="shared" si="6"/>
        <v>31</v>
      </c>
      <c r="M20" s="11">
        <v>60</v>
      </c>
      <c r="N20" s="12">
        <v>0.1</v>
      </c>
      <c r="O20" s="13">
        <f t="shared" si="0"/>
        <v>1.5000000000000001E-2</v>
      </c>
      <c r="P20" s="25">
        <f>IF((H20&lt;=5),VLOOKUP(D20,'building rates'!$B$30:$H$54,2,FALSE),IF(AND(H20&gt;5,H20&lt;=12),VLOOKUP(D20,'building rates'!$B$30:$H$54,3,FALSE),IF(AND(H20&gt;12,H20&lt;=15),VLOOKUP(D20,'building rates'!$B$30:$H$54,4,FALSE),IF(AND(H20&gt;15,H20&lt;=20),VLOOKUP(D20,'building rates'!$B$30:$H$54,5,FALSE),IF(AND(H20&gt;20,H20&lt;=25),VLOOKUP(D20,'building rates'!$B$30:$H$54,6,FALSE),IF(H20&gt;25,VLOOKUP(D20,'building rates'!$B$30:$H$54,7,FALSE),0))))))</f>
        <v>1700</v>
      </c>
      <c r="Q20" s="14">
        <f t="shared" si="1"/>
        <v>89630800</v>
      </c>
      <c r="R20" s="14">
        <f t="shared" si="2"/>
        <v>41678322</v>
      </c>
      <c r="S20" s="14">
        <f t="shared" si="7"/>
        <v>47952478</v>
      </c>
      <c r="T20" s="15">
        <v>0.3</v>
      </c>
      <c r="U20" s="14">
        <f t="shared" si="8"/>
        <v>33566734.600000001</v>
      </c>
      <c r="V20" s="3">
        <f t="shared" si="9"/>
        <v>636.65</v>
      </c>
      <c r="W20" s="38" t="s">
        <v>160</v>
      </c>
      <c r="X20" s="40"/>
    </row>
    <row r="21" spans="1:24" ht="105" customHeight="1" x14ac:dyDescent="0.25">
      <c r="A21" s="7">
        <v>16</v>
      </c>
      <c r="B21" s="27" t="str">
        <f>'BD SHEET FROM COMPANY'!B20</f>
        <v>STOCK PREPERATION TRIPLEX EXTRUDER</v>
      </c>
      <c r="C21" s="29">
        <v>1</v>
      </c>
      <c r="D21" s="8" t="s">
        <v>161</v>
      </c>
      <c r="E21" s="9">
        <f>'BD SHEET FROM COMPANY'!K20</f>
        <v>28998.2</v>
      </c>
      <c r="F21" s="9"/>
      <c r="G21" s="95">
        <f t="shared" si="4"/>
        <v>2694.0235416531186</v>
      </c>
      <c r="H21" s="10">
        <f>'BD SHEET FROM COMPANY'!E20</f>
        <v>29.951999999999998</v>
      </c>
      <c r="I21" s="30">
        <f t="shared" si="5"/>
        <v>9.1289241085035044</v>
      </c>
      <c r="J21" s="31">
        <f>'BD SHEET FROM COMPANY'!F20</f>
        <v>1998</v>
      </c>
      <c r="K21" s="11">
        <v>2022</v>
      </c>
      <c r="L21" s="10">
        <f t="shared" si="6"/>
        <v>24</v>
      </c>
      <c r="M21" s="11">
        <v>60</v>
      </c>
      <c r="N21" s="12">
        <v>0.1</v>
      </c>
      <c r="O21" s="13">
        <f t="shared" si="0"/>
        <v>1.5000000000000001E-2</v>
      </c>
      <c r="P21" s="25">
        <f>IF((H21&lt;=5),VLOOKUP(D21,'building rates'!$B$30:$H$54,2,FALSE),IF(AND(H21&gt;5,H21&lt;=12),VLOOKUP(D21,'building rates'!$B$30:$H$54,3,FALSE),IF(AND(H21&gt;12,H21&lt;=15),VLOOKUP(D21,'building rates'!$B$30:$H$54,4,FALSE),IF(AND(H21&gt;15,H21&lt;=20),VLOOKUP(D21,'building rates'!$B$30:$H$54,5,FALSE),IF(AND(H21&gt;20,H21&lt;=25),VLOOKUP(D21,'building rates'!$B$30:$H$54,6,FALSE),IF(H21&gt;25,VLOOKUP(D21,'building rates'!$B$30:$H$54,7,FALSE),0))))))</f>
        <v>1500</v>
      </c>
      <c r="Q21" s="14">
        <f t="shared" si="1"/>
        <v>43497300</v>
      </c>
      <c r="R21" s="14">
        <f t="shared" si="2"/>
        <v>15659028</v>
      </c>
      <c r="S21" s="14">
        <f t="shared" si="7"/>
        <v>27838272</v>
      </c>
      <c r="T21" s="15">
        <v>0.3</v>
      </c>
      <c r="U21" s="14">
        <f t="shared" si="8"/>
        <v>19486790.399999999</v>
      </c>
      <c r="V21" s="3">
        <f t="shared" si="9"/>
        <v>671.99999999999989</v>
      </c>
      <c r="W21" s="8" t="s">
        <v>161</v>
      </c>
      <c r="X21" s="40"/>
    </row>
    <row r="22" spans="1:24" ht="75" customHeight="1" x14ac:dyDescent="0.25">
      <c r="A22" s="7">
        <v>17</v>
      </c>
      <c r="B22" s="27" t="str">
        <f>'BD SHEET FROM COMPANY'!B21</f>
        <v>STOCK PREPERATION DUPLEX EXTRUDER</v>
      </c>
      <c r="C22" s="29">
        <v>1</v>
      </c>
      <c r="D22" s="8" t="s">
        <v>162</v>
      </c>
      <c r="E22" s="9">
        <f>'BD SHEET FROM COMPANY'!K21</f>
        <v>28998.2</v>
      </c>
      <c r="F22" s="9"/>
      <c r="G22" s="95">
        <f t="shared" si="4"/>
        <v>2694.0235416531186</v>
      </c>
      <c r="H22" s="10">
        <f>'BD SHEET FROM COMPANY'!E21</f>
        <v>29.951999999999998</v>
      </c>
      <c r="I22" s="30">
        <f t="shared" si="5"/>
        <v>9.1289241085035044</v>
      </c>
      <c r="J22" s="31">
        <f>'BD SHEET FROM COMPANY'!F21</f>
        <v>2004</v>
      </c>
      <c r="K22" s="11">
        <v>2022</v>
      </c>
      <c r="L22" s="10">
        <f t="shared" si="6"/>
        <v>18</v>
      </c>
      <c r="M22" s="11">
        <v>60</v>
      </c>
      <c r="N22" s="12">
        <v>0.1</v>
      </c>
      <c r="O22" s="13">
        <f t="shared" si="0"/>
        <v>1.5000000000000001E-2</v>
      </c>
      <c r="P22" s="25">
        <f>IF((H22&lt;=5),VLOOKUP(D22,'building rates'!$B$30:$H$54,2,FALSE),IF(AND(H22&gt;5,H22&lt;=12),VLOOKUP(D22,'building rates'!$B$30:$H$54,3,FALSE),IF(AND(H22&gt;12,H22&lt;=15),VLOOKUP(D22,'building rates'!$B$30:$H$54,4,FALSE),IF(AND(H22&gt;15,H22&lt;=20),VLOOKUP(D22,'building rates'!$B$30:$H$54,5,FALSE),IF(AND(H22&gt;20,H22&lt;=25),VLOOKUP(D22,'building rates'!$B$30:$H$54,6,FALSE),IF(H22&gt;25,VLOOKUP(D22,'building rates'!$B$30:$H$54,7,FALSE),0))))))</f>
        <v>1300</v>
      </c>
      <c r="Q22" s="14">
        <f t="shared" si="1"/>
        <v>37697660</v>
      </c>
      <c r="R22" s="14">
        <f t="shared" si="2"/>
        <v>10178368.200000001</v>
      </c>
      <c r="S22" s="14">
        <f t="shared" si="7"/>
        <v>27519291.799999997</v>
      </c>
      <c r="T22" s="15">
        <v>0.3</v>
      </c>
      <c r="U22" s="14">
        <f t="shared" si="8"/>
        <v>19263504.259999998</v>
      </c>
      <c r="V22" s="3">
        <f t="shared" si="9"/>
        <v>664.3</v>
      </c>
      <c r="W22" s="38" t="s">
        <v>162</v>
      </c>
      <c r="X22" s="40"/>
    </row>
    <row r="23" spans="1:24" ht="45" customHeight="1" x14ac:dyDescent="0.25">
      <c r="A23" s="7">
        <v>18</v>
      </c>
      <c r="B23" s="27" t="str">
        <f>'BD SHEET FROM COMPANY'!B22</f>
        <v>TYRE BUILDING MACJINE (TBM)</v>
      </c>
      <c r="C23" s="29">
        <v>1</v>
      </c>
      <c r="D23" s="8" t="s">
        <v>160</v>
      </c>
      <c r="E23" s="9">
        <f>'BD SHEET FROM COMPANY'!K22</f>
        <v>0</v>
      </c>
      <c r="F23" s="9"/>
      <c r="G23" s="95">
        <f t="shared" si="4"/>
        <v>0</v>
      </c>
      <c r="H23" s="10">
        <f>'BD SHEET FROM COMPANY'!E22</f>
        <v>38.271999999999998</v>
      </c>
      <c r="I23" s="30">
        <f t="shared" si="5"/>
        <v>11.664736360865589</v>
      </c>
      <c r="J23" s="31">
        <f>'BD SHEET FROM COMPANY'!F22</f>
        <v>1991</v>
      </c>
      <c r="K23" s="11">
        <v>2022</v>
      </c>
      <c r="L23" s="10">
        <f t="shared" si="6"/>
        <v>31</v>
      </c>
      <c r="M23" s="11">
        <v>60</v>
      </c>
      <c r="N23" s="12">
        <v>0.1</v>
      </c>
      <c r="O23" s="13">
        <f t="shared" si="0"/>
        <v>1.5000000000000001E-2</v>
      </c>
      <c r="P23" s="25">
        <f>IF((H23&lt;=5),VLOOKUP(D23,'building rates'!$B$30:$H$54,2,FALSE),IF(AND(H23&gt;5,H23&lt;=12),VLOOKUP(D23,'building rates'!$B$30:$H$54,3,FALSE),IF(AND(H23&gt;12,H23&lt;=15),VLOOKUP(D23,'building rates'!$B$30:$H$54,4,FALSE),IF(AND(H23&gt;15,H23&lt;=20),VLOOKUP(D23,'building rates'!$B$30:$H$54,5,FALSE),IF(AND(H23&gt;20,H23&lt;=25),VLOOKUP(D23,'building rates'!$B$30:$H$54,6,FALSE),IF(H23&gt;25,VLOOKUP(D23,'building rates'!$B$30:$H$54,7,FALSE),0))))))</f>
        <v>1700</v>
      </c>
      <c r="Q23" s="14">
        <f t="shared" si="1"/>
        <v>0</v>
      </c>
      <c r="R23" s="14">
        <f t="shared" si="2"/>
        <v>0</v>
      </c>
      <c r="S23" s="14">
        <f t="shared" si="7"/>
        <v>0</v>
      </c>
      <c r="T23" s="15">
        <v>0.25</v>
      </c>
      <c r="U23" s="14">
        <f t="shared" si="8"/>
        <v>0</v>
      </c>
      <c r="V23" s="3" t="e">
        <f t="shared" si="9"/>
        <v>#DIV/0!</v>
      </c>
      <c r="X23" s="40"/>
    </row>
    <row r="24" spans="1:24" ht="75" customHeight="1" x14ac:dyDescent="0.25">
      <c r="A24" s="7">
        <v>19</v>
      </c>
      <c r="B24" s="27" t="str">
        <f>'BD SHEET FROM COMPANY'!B23</f>
        <v>TYRE BUILDING HALL # 1 ( Precast)</v>
      </c>
      <c r="C24" s="29">
        <v>1</v>
      </c>
      <c r="D24" s="8" t="s">
        <v>158</v>
      </c>
      <c r="E24" s="9">
        <f>'BD SHEET FROM COMPANY'!K23</f>
        <v>33140.800000000003</v>
      </c>
      <c r="F24" s="16"/>
      <c r="G24" s="95">
        <f t="shared" si="4"/>
        <v>3078.8840476035643</v>
      </c>
      <c r="H24" s="10">
        <f>'BD SHEET FROM COMPANY'!E23</f>
        <v>18.303999999999998</v>
      </c>
      <c r="I24" s="30">
        <f t="shared" si="5"/>
        <v>5.5787869551965859</v>
      </c>
      <c r="J24" s="31">
        <f>'BD SHEET FROM COMPANY'!F23</f>
        <v>1998</v>
      </c>
      <c r="K24" s="11">
        <v>2022</v>
      </c>
      <c r="L24" s="10">
        <f t="shared" si="6"/>
        <v>24</v>
      </c>
      <c r="M24" s="11">
        <v>60</v>
      </c>
      <c r="N24" s="12">
        <v>0.1</v>
      </c>
      <c r="O24" s="13">
        <f t="shared" si="0"/>
        <v>1.5000000000000001E-2</v>
      </c>
      <c r="P24" s="25">
        <f>IF((H24&lt;=5),VLOOKUP(D24,'building rates'!$B$30:$H$54,2,FALSE),IF(AND(H24&gt;5,H24&lt;=12),VLOOKUP(D24,'building rates'!$B$30:$H$54,3,FALSE),IF(AND(H24&gt;12,H24&lt;=15),VLOOKUP(D24,'building rates'!$B$30:$H$54,4,FALSE),IF(AND(H24&gt;15,H24&lt;=20),VLOOKUP(D24,'building rates'!$B$30:$H$54,5,FALSE),IF(AND(H24&gt;20,H24&lt;=25),VLOOKUP(D24,'building rates'!$B$30:$H$54,6,FALSE),IF(H24&gt;25,VLOOKUP(D24,'building rates'!$B$30:$H$54,7,FALSE),0))))))</f>
        <v>1400</v>
      </c>
      <c r="Q24" s="14">
        <f t="shared" si="1"/>
        <v>46397120.000000007</v>
      </c>
      <c r="R24" s="14">
        <f t="shared" si="2"/>
        <v>16702963.200000003</v>
      </c>
      <c r="S24" s="14">
        <f t="shared" si="7"/>
        <v>29694156.800000004</v>
      </c>
      <c r="T24" s="15">
        <v>0.25</v>
      </c>
      <c r="U24" s="14">
        <f t="shared" si="8"/>
        <v>22270617.600000001</v>
      </c>
      <c r="V24" s="3">
        <f t="shared" si="9"/>
        <v>672</v>
      </c>
      <c r="W24" s="38" t="s">
        <v>158</v>
      </c>
      <c r="X24" s="40"/>
    </row>
    <row r="25" spans="1:24" ht="45" customHeight="1" x14ac:dyDescent="0.25">
      <c r="A25" s="7">
        <v>20</v>
      </c>
      <c r="B25" s="27" t="str">
        <f>'BD SHEET FROM COMPANY'!B24</f>
        <v>TYRE BUILDING HALL # 2 ( Precast)</v>
      </c>
      <c r="C25" s="29">
        <v>1</v>
      </c>
      <c r="D25" s="8" t="s">
        <v>158</v>
      </c>
      <c r="E25" s="9">
        <f>'BD SHEET FROM COMPANY'!K24</f>
        <v>33140.800000000003</v>
      </c>
      <c r="F25" s="9"/>
      <c r="G25" s="95">
        <f t="shared" si="4"/>
        <v>3078.8840476035643</v>
      </c>
      <c r="H25" s="10">
        <f>'BD SHEET FROM COMPANY'!E24</f>
        <v>18.303999999999998</v>
      </c>
      <c r="I25" s="30">
        <f t="shared" si="5"/>
        <v>5.5787869551965859</v>
      </c>
      <c r="J25" s="31">
        <f>'BD SHEET FROM COMPANY'!F24</f>
        <v>2004</v>
      </c>
      <c r="K25" s="11">
        <v>2022</v>
      </c>
      <c r="L25" s="10">
        <f t="shared" si="6"/>
        <v>18</v>
      </c>
      <c r="M25" s="11">
        <v>60</v>
      </c>
      <c r="N25" s="12">
        <v>0.1</v>
      </c>
      <c r="O25" s="13">
        <f t="shared" si="0"/>
        <v>1.5000000000000001E-2</v>
      </c>
      <c r="P25" s="25">
        <f>IF((H25&lt;=5),VLOOKUP(D25,'building rates'!$B$30:$H$54,2,FALSE),IF(AND(H25&gt;5,H25&lt;=12),VLOOKUP(D25,'building rates'!$B$30:$H$54,3,FALSE),IF(AND(H25&gt;12,H25&lt;=15),VLOOKUP(D25,'building rates'!$B$30:$H$54,4,FALSE),IF(AND(H25&gt;15,H25&lt;=20),VLOOKUP(D25,'building rates'!$B$30:$H$54,5,FALSE),IF(AND(H25&gt;20,H25&lt;=25),VLOOKUP(D25,'building rates'!$B$30:$H$54,6,FALSE),IF(H25&gt;25,VLOOKUP(D25,'building rates'!$B$30:$H$54,7,FALSE),0))))))</f>
        <v>1400</v>
      </c>
      <c r="Q25" s="14">
        <f t="shared" si="1"/>
        <v>46397120.000000007</v>
      </c>
      <c r="R25" s="14">
        <f t="shared" si="2"/>
        <v>12527222.400000002</v>
      </c>
      <c r="S25" s="14">
        <f t="shared" si="7"/>
        <v>33869897.600000009</v>
      </c>
      <c r="T25" s="15">
        <v>0.25</v>
      </c>
      <c r="U25" s="14">
        <f t="shared" si="8"/>
        <v>25402423.200000007</v>
      </c>
      <c r="V25" s="3">
        <f t="shared" si="9"/>
        <v>766.50000000000011</v>
      </c>
      <c r="X25" s="40"/>
    </row>
    <row r="26" spans="1:24" ht="60" customHeight="1" x14ac:dyDescent="0.25">
      <c r="A26" s="7">
        <v>21</v>
      </c>
      <c r="B26" s="27" t="str">
        <f>'BD SHEET FROM COMPANY'!B25</f>
        <v>TYRE BUILDING HALL # 3</v>
      </c>
      <c r="C26" s="29">
        <v>1</v>
      </c>
      <c r="D26" s="8" t="s">
        <v>159</v>
      </c>
      <c r="E26" s="9">
        <f>'BD SHEET FROM COMPANY'!K25</f>
        <v>33140.800000000003</v>
      </c>
      <c r="F26" s="9"/>
      <c r="G26" s="95">
        <f t="shared" si="4"/>
        <v>3078.8840476035643</v>
      </c>
      <c r="H26" s="10">
        <f>'BD SHEET FROM COMPANY'!E25</f>
        <v>16.64</v>
      </c>
      <c r="I26" s="30">
        <f t="shared" si="5"/>
        <v>5.071624504724169</v>
      </c>
      <c r="J26" s="31">
        <f>'BD SHEET FROM COMPANY'!F25</f>
        <v>2006</v>
      </c>
      <c r="K26" s="11">
        <v>2022</v>
      </c>
      <c r="L26" s="10">
        <f t="shared" si="6"/>
        <v>16</v>
      </c>
      <c r="M26" s="11">
        <v>40</v>
      </c>
      <c r="N26" s="12">
        <v>0.1</v>
      </c>
      <c r="O26" s="13">
        <f t="shared" si="0"/>
        <v>2.2499999999999999E-2</v>
      </c>
      <c r="P26" s="25">
        <f>IF((H26&lt;=5),VLOOKUP(D26,'building rates'!$B$30:$H$54,2,FALSE),IF(AND(H26&gt;5,H26&lt;=12),VLOOKUP(D26,'building rates'!$B$30:$H$54,3,FALSE),IF(AND(H26&gt;12,H26&lt;=15),VLOOKUP(D26,'building rates'!$B$30:$H$54,4,FALSE),IF(AND(H26&gt;15,H26&lt;=20),VLOOKUP(D26,'building rates'!$B$30:$H$54,5,FALSE),IF(AND(H26&gt;20,H26&lt;=25),VLOOKUP(D26,'building rates'!$B$30:$H$54,6,FALSE),IF(H26&gt;25,VLOOKUP(D26,'building rates'!$B$30:$H$54,7,FALSE),0))))))</f>
        <v>700</v>
      </c>
      <c r="Q26" s="14">
        <f t="shared" si="1"/>
        <v>23198560.000000004</v>
      </c>
      <c r="R26" s="14">
        <f t="shared" si="2"/>
        <v>8351481.6000000015</v>
      </c>
      <c r="S26" s="14">
        <f t="shared" si="7"/>
        <v>14847078.400000002</v>
      </c>
      <c r="T26" s="15">
        <v>0.25</v>
      </c>
      <c r="U26" s="14">
        <f t="shared" si="8"/>
        <v>11135308.800000001</v>
      </c>
      <c r="V26" s="3">
        <f t="shared" si="9"/>
        <v>336</v>
      </c>
      <c r="X26" s="40"/>
    </row>
    <row r="27" spans="1:24" ht="45" customHeight="1" x14ac:dyDescent="0.25">
      <c r="A27" s="7">
        <v>22</v>
      </c>
      <c r="B27" s="27" t="str">
        <f>'BD SHEET FROM COMPANY'!B26</f>
        <v>GREEN TYRE STORAGE</v>
      </c>
      <c r="C27" s="29">
        <v>1</v>
      </c>
      <c r="D27" s="8" t="s">
        <v>163</v>
      </c>
      <c r="E27" s="9">
        <f>'BD SHEET FROM COMPANY'!K26</f>
        <v>39919.599999999999</v>
      </c>
      <c r="F27" s="9"/>
      <c r="G27" s="95">
        <f t="shared" si="4"/>
        <v>3708.6557846133837</v>
      </c>
      <c r="H27" s="10">
        <f>'BD SHEET FROM COMPANY'!E26</f>
        <v>23.295999999999999</v>
      </c>
      <c r="I27" s="30">
        <f t="shared" si="5"/>
        <v>7.1002743066138372</v>
      </c>
      <c r="J27" s="31">
        <f>'BD SHEET FROM COMPANY'!F26</f>
        <v>1991</v>
      </c>
      <c r="K27" s="11">
        <v>2022</v>
      </c>
      <c r="L27" s="10">
        <f t="shared" si="6"/>
        <v>31</v>
      </c>
      <c r="M27" s="11">
        <v>60</v>
      </c>
      <c r="N27" s="12">
        <v>0.1</v>
      </c>
      <c r="O27" s="13">
        <f t="shared" si="0"/>
        <v>1.5000000000000001E-2</v>
      </c>
      <c r="P27" s="25">
        <f>IF((H27&lt;=5),VLOOKUP(D27,'building rates'!$B$30:$H$54,2,FALSE),IF(AND(H27&gt;5,H27&lt;=12),VLOOKUP(D27,'building rates'!$B$30:$H$54,3,FALSE),IF(AND(H27&gt;12,H27&lt;=15),VLOOKUP(D27,'building rates'!$B$30:$H$54,4,FALSE),IF(AND(H27&gt;15,H27&lt;=20),VLOOKUP(D27,'building rates'!$B$30:$H$54,5,FALSE),IF(AND(H27&gt;20,H27&lt;=25),VLOOKUP(D27,'building rates'!$B$30:$H$54,6,FALSE),IF(H27&gt;25,VLOOKUP(D27,'building rates'!$B$30:$H$54,7,FALSE),0))))))</f>
        <v>1300</v>
      </c>
      <c r="Q27" s="14">
        <f t="shared" si="1"/>
        <v>51895480</v>
      </c>
      <c r="R27" s="14">
        <f t="shared" si="2"/>
        <v>24131398.200000003</v>
      </c>
      <c r="S27" s="14">
        <f t="shared" si="7"/>
        <v>27764081.799999997</v>
      </c>
      <c r="T27" s="15">
        <v>0.2</v>
      </c>
      <c r="U27" s="14">
        <f t="shared" si="8"/>
        <v>22211265.439999998</v>
      </c>
      <c r="V27" s="3">
        <f t="shared" si="9"/>
        <v>556.4</v>
      </c>
      <c r="X27" s="40"/>
    </row>
    <row r="28" spans="1:24" ht="45" customHeight="1" x14ac:dyDescent="0.25">
      <c r="A28" s="7">
        <v>23</v>
      </c>
      <c r="B28" s="27" t="str">
        <f>'BD SHEET FROM COMPANY'!B27</f>
        <v>TYRE CURING # 1,2 &amp; FINAL FINISH</v>
      </c>
      <c r="C28" s="29">
        <v>1</v>
      </c>
      <c r="D28" s="8" t="s">
        <v>164</v>
      </c>
      <c r="E28" s="9">
        <f>'BD SHEET FROM COMPANY'!K27</f>
        <v>57996.4</v>
      </c>
      <c r="F28" s="9"/>
      <c r="G28" s="95">
        <f t="shared" si="4"/>
        <v>5388.0470833062373</v>
      </c>
      <c r="H28" s="10">
        <f>'BD SHEET FROM COMPANY'!E27</f>
        <v>23.295999999999999</v>
      </c>
      <c r="I28" s="30">
        <f t="shared" si="5"/>
        <v>7.1002743066138372</v>
      </c>
      <c r="J28" s="31">
        <f>'BD SHEET FROM COMPANY'!F27</f>
        <v>1991</v>
      </c>
      <c r="K28" s="11">
        <v>2022</v>
      </c>
      <c r="L28" s="10">
        <f t="shared" si="6"/>
        <v>31</v>
      </c>
      <c r="M28" s="11">
        <v>60</v>
      </c>
      <c r="N28" s="12">
        <v>0.1</v>
      </c>
      <c r="O28" s="13">
        <f t="shared" si="0"/>
        <v>1.5000000000000001E-2</v>
      </c>
      <c r="P28" s="25">
        <f>IF((H28&lt;=5),VLOOKUP(D28,'building rates'!$B$30:$H$54,2,FALSE),IF(AND(H28&gt;5,H28&lt;=12),VLOOKUP(D28,'building rates'!$B$30:$H$54,3,FALSE),IF(AND(H28&gt;12,H28&lt;=15),VLOOKUP(D28,'building rates'!$B$30:$H$54,4,FALSE),IF(AND(H28&gt;15,H28&lt;=20),VLOOKUP(D28,'building rates'!$B$30:$H$54,5,FALSE),IF(AND(H28&gt;20,H28&lt;=25),VLOOKUP(D28,'building rates'!$B$30:$H$54,6,FALSE),IF(H28&gt;25,VLOOKUP(D28,'building rates'!$B$30:$H$54,7,FALSE),0))))))</f>
        <v>1500</v>
      </c>
      <c r="Q28" s="14">
        <f t="shared" si="1"/>
        <v>86994600</v>
      </c>
      <c r="R28" s="14">
        <f t="shared" si="2"/>
        <v>40452489</v>
      </c>
      <c r="S28" s="14">
        <f t="shared" si="7"/>
        <v>46542111</v>
      </c>
      <c r="T28" s="15">
        <v>0.3</v>
      </c>
      <c r="U28" s="14">
        <f t="shared" si="8"/>
        <v>32579477.699999999</v>
      </c>
      <c r="V28" s="3">
        <f t="shared" si="9"/>
        <v>561.75</v>
      </c>
      <c r="X28" s="40"/>
    </row>
    <row r="29" spans="1:24" ht="45" customHeight="1" x14ac:dyDescent="0.25">
      <c r="A29" s="7">
        <v>24</v>
      </c>
      <c r="B29" s="27" t="str">
        <f>'BD SHEET FROM COMPANY'!B28</f>
        <v>TYRE CURING # 4 &amp; FINAL FINISH, (PRECAST COFFER SLAB)</v>
      </c>
      <c r="C29" s="29">
        <v>1</v>
      </c>
      <c r="D29" s="8" t="s">
        <v>161</v>
      </c>
      <c r="E29" s="9">
        <f>'BD SHEET FROM COMPANY'!K28</f>
        <v>28998.2</v>
      </c>
      <c r="F29" s="9"/>
      <c r="G29" s="95">
        <f t="shared" si="4"/>
        <v>2694.0235416531186</v>
      </c>
      <c r="H29" s="10">
        <f>'BD SHEET FROM COMPANY'!E28</f>
        <v>23.295999999999999</v>
      </c>
      <c r="I29" s="30">
        <f t="shared" si="5"/>
        <v>7.1002743066138372</v>
      </c>
      <c r="J29" s="31">
        <f>'BD SHEET FROM COMPANY'!F28</f>
        <v>1991</v>
      </c>
      <c r="K29" s="11">
        <v>2022</v>
      </c>
      <c r="L29" s="10">
        <f t="shared" si="6"/>
        <v>31</v>
      </c>
      <c r="M29" s="11">
        <v>60</v>
      </c>
      <c r="N29" s="12">
        <v>0.1</v>
      </c>
      <c r="O29" s="13">
        <f t="shared" si="0"/>
        <v>1.5000000000000001E-2</v>
      </c>
      <c r="P29" s="25">
        <f>IF((H29&lt;=5),VLOOKUP(D29,'building rates'!$B$30:$H$54,2,FALSE),IF(AND(H29&gt;5,H29&lt;=12),VLOOKUP(D29,'building rates'!$B$30:$H$54,3,FALSE),IF(AND(H29&gt;12,H29&lt;=15),VLOOKUP(D29,'building rates'!$B$30:$H$54,4,FALSE),IF(AND(H29&gt;15,H29&lt;=20),VLOOKUP(D29,'building rates'!$B$30:$H$54,5,FALSE),IF(AND(H29&gt;20,H29&lt;=25),VLOOKUP(D29,'building rates'!$B$30:$H$54,6,FALSE),IF(H29&gt;25,VLOOKUP(D29,'building rates'!$B$30:$H$54,7,FALSE),0))))))</f>
        <v>1300</v>
      </c>
      <c r="Q29" s="14">
        <f t="shared" si="1"/>
        <v>37697660</v>
      </c>
      <c r="R29" s="14">
        <f t="shared" si="2"/>
        <v>17529411.900000002</v>
      </c>
      <c r="S29" s="14">
        <f t="shared" si="7"/>
        <v>20168248.099999998</v>
      </c>
      <c r="T29" s="15">
        <v>0.3</v>
      </c>
      <c r="U29" s="14">
        <f t="shared" si="8"/>
        <v>14117773.669999998</v>
      </c>
      <c r="V29" s="3">
        <f t="shared" si="9"/>
        <v>486.84999999999991</v>
      </c>
      <c r="X29" s="40"/>
    </row>
    <row r="30" spans="1:24" ht="45" customHeight="1" x14ac:dyDescent="0.25">
      <c r="A30" s="7">
        <v>25</v>
      </c>
      <c r="B30" s="27" t="str">
        <f>'BD SHEET FROM COMPANY'!B29</f>
        <v>TYRE CURING # 5 &amp; FINAL FINISH, (PRECAST COFFER SLAB)</v>
      </c>
      <c r="C30" s="29">
        <v>1</v>
      </c>
      <c r="D30" s="8" t="s">
        <v>161</v>
      </c>
      <c r="E30" s="9">
        <f>'BD SHEET FROM COMPANY'!K29</f>
        <v>28998.2</v>
      </c>
      <c r="F30" s="9"/>
      <c r="G30" s="95">
        <f t="shared" si="4"/>
        <v>2694.0235416531186</v>
      </c>
      <c r="H30" s="10">
        <f>'BD SHEET FROM COMPANY'!E29</f>
        <v>23.295999999999999</v>
      </c>
      <c r="I30" s="30">
        <f t="shared" si="5"/>
        <v>7.1002743066138372</v>
      </c>
      <c r="J30" s="31">
        <f>'BD SHEET FROM COMPANY'!F29</f>
        <v>2004</v>
      </c>
      <c r="K30" s="11">
        <v>2022</v>
      </c>
      <c r="L30" s="10">
        <f t="shared" si="6"/>
        <v>18</v>
      </c>
      <c r="M30" s="11">
        <v>60</v>
      </c>
      <c r="N30" s="12">
        <v>0.1</v>
      </c>
      <c r="O30" s="13">
        <f t="shared" si="0"/>
        <v>1.5000000000000001E-2</v>
      </c>
      <c r="P30" s="25">
        <f>IF((H30&lt;=5),VLOOKUP(D30,'building rates'!$B$30:$H$54,2,FALSE),IF(AND(H30&gt;5,H30&lt;=12),VLOOKUP(D30,'building rates'!$B$30:$H$54,3,FALSE),IF(AND(H30&gt;12,H30&lt;=15),VLOOKUP(D30,'building rates'!$B$30:$H$54,4,FALSE),IF(AND(H30&gt;15,H30&lt;=20),VLOOKUP(D30,'building rates'!$B$30:$H$54,5,FALSE),IF(AND(H30&gt;20,H30&lt;=25),VLOOKUP(D30,'building rates'!$B$30:$H$54,6,FALSE),IF(H30&gt;25,VLOOKUP(D30,'building rates'!$B$30:$H$54,7,FALSE),0))))))</f>
        <v>1300</v>
      </c>
      <c r="Q30" s="14">
        <f t="shared" si="1"/>
        <v>37697660</v>
      </c>
      <c r="R30" s="14">
        <f t="shared" si="2"/>
        <v>10178368.200000001</v>
      </c>
      <c r="S30" s="14">
        <f t="shared" si="7"/>
        <v>27519291.799999997</v>
      </c>
      <c r="T30" s="15">
        <v>0.3</v>
      </c>
      <c r="U30" s="14">
        <f t="shared" si="8"/>
        <v>19263504.259999998</v>
      </c>
      <c r="V30" s="3">
        <f t="shared" si="9"/>
        <v>664.3</v>
      </c>
    </row>
    <row r="31" spans="1:24" ht="60" customHeight="1" x14ac:dyDescent="0.25">
      <c r="A31" s="7">
        <v>26</v>
      </c>
      <c r="B31" s="27" t="str">
        <f>'BD SHEET FROM COMPANY'!B30</f>
        <v>TYRE CURING # 6 &amp; FINAL FINISH</v>
      </c>
      <c r="C31" s="29">
        <v>1</v>
      </c>
      <c r="D31" s="8" t="s">
        <v>159</v>
      </c>
      <c r="E31" s="9">
        <f>'BD SHEET FROM COMPANY'!K30</f>
        <v>28998.2</v>
      </c>
      <c r="F31" s="9"/>
      <c r="G31" s="95">
        <f t="shared" si="4"/>
        <v>2694.0235416531186</v>
      </c>
      <c r="H31" s="10">
        <f>'BD SHEET FROM COMPANY'!E30</f>
        <v>23.295999999999999</v>
      </c>
      <c r="I31" s="30">
        <f t="shared" si="5"/>
        <v>7.1002743066138372</v>
      </c>
      <c r="J31" s="31">
        <f>'BD SHEET FROM COMPANY'!F30</f>
        <v>2006</v>
      </c>
      <c r="K31" s="11">
        <v>2022</v>
      </c>
      <c r="L31" s="10">
        <f t="shared" si="6"/>
        <v>16</v>
      </c>
      <c r="M31" s="11">
        <v>40</v>
      </c>
      <c r="N31" s="12">
        <v>0.1</v>
      </c>
      <c r="O31" s="13">
        <f t="shared" si="0"/>
        <v>2.2499999999999999E-2</v>
      </c>
      <c r="P31" s="25">
        <f>IF((H31&lt;=5),VLOOKUP(D31,'building rates'!$B$30:$H$54,2,FALSE),IF(AND(H31&gt;5,H31&lt;=12),VLOOKUP(D31,'building rates'!$B$30:$H$54,3,FALSE),IF(AND(H31&gt;12,H31&lt;=15),VLOOKUP(D31,'building rates'!$B$30:$H$54,4,FALSE),IF(AND(H31&gt;15,H31&lt;=20),VLOOKUP(D31,'building rates'!$B$30:$H$54,5,FALSE),IF(AND(H31&gt;20,H31&lt;=25),VLOOKUP(D31,'building rates'!$B$30:$H$54,6,FALSE),IF(H31&gt;25,VLOOKUP(D31,'building rates'!$B$30:$H$54,7,FALSE),0))))))</f>
        <v>900</v>
      </c>
      <c r="Q31" s="14">
        <f t="shared" si="1"/>
        <v>26098380</v>
      </c>
      <c r="R31" s="14">
        <f t="shared" si="2"/>
        <v>9395416.7999999989</v>
      </c>
      <c r="S31" s="14">
        <f t="shared" si="7"/>
        <v>16702963.200000001</v>
      </c>
      <c r="T31" s="15">
        <v>0.3</v>
      </c>
      <c r="U31" s="14">
        <f t="shared" si="8"/>
        <v>11692074.24</v>
      </c>
      <c r="V31" s="3">
        <f t="shared" si="9"/>
        <v>403.2</v>
      </c>
    </row>
    <row r="32" spans="1:24" ht="60" customHeight="1" x14ac:dyDescent="0.25">
      <c r="A32" s="7">
        <v>27</v>
      </c>
      <c r="B32" s="27" t="str">
        <f>'BD SHEET FROM COMPANY'!B31</f>
        <v>TYRE INSPECTION (MEZZ. FLOOR)</v>
      </c>
      <c r="C32" s="29">
        <v>1</v>
      </c>
      <c r="D32" s="8" t="s">
        <v>165</v>
      </c>
      <c r="E32" s="9">
        <f>'BD SHEET FROM COMPANY'!K31</f>
        <v>55925.1</v>
      </c>
      <c r="F32" s="9"/>
      <c r="G32" s="95">
        <f t="shared" si="4"/>
        <v>5195.6168303310142</v>
      </c>
      <c r="H32" s="10">
        <f>'BD SHEET FROM COMPANY'!E31</f>
        <v>23.295999999999999</v>
      </c>
      <c r="I32" s="30">
        <f t="shared" si="5"/>
        <v>7.1002743066138372</v>
      </c>
      <c r="J32" s="31">
        <f>'BD SHEET FROM COMPANY'!F31</f>
        <v>2006</v>
      </c>
      <c r="K32" s="11">
        <v>2022</v>
      </c>
      <c r="L32" s="10">
        <f t="shared" si="6"/>
        <v>16</v>
      </c>
      <c r="M32" s="11">
        <v>40</v>
      </c>
      <c r="N32" s="12">
        <v>0.1</v>
      </c>
      <c r="O32" s="13">
        <f t="shared" si="0"/>
        <v>2.2499999999999999E-2</v>
      </c>
      <c r="P32" s="25">
        <f>IF((H32&lt;=5),VLOOKUP(D32,'building rates'!$B$30:$H$54,2,FALSE),IF(AND(H32&gt;5,H32&lt;=12),VLOOKUP(D32,'building rates'!$B$30:$H$54,3,FALSE),IF(AND(H32&gt;12,H32&lt;=15),VLOOKUP(D32,'building rates'!$B$30:$H$54,4,FALSE),IF(AND(H32&gt;15,H32&lt;=20),VLOOKUP(D32,'building rates'!$B$30:$H$54,5,FALSE),IF(AND(H32&gt;20,H32&lt;=25),VLOOKUP(D32,'building rates'!$B$30:$H$54,6,FALSE),IF(H32&gt;25,VLOOKUP(D32,'building rates'!$B$30:$H$54,7,FALSE),0))))))</f>
        <v>900</v>
      </c>
      <c r="Q32" s="14">
        <f t="shared" si="1"/>
        <v>50332590</v>
      </c>
      <c r="R32" s="14">
        <f t="shared" si="2"/>
        <v>18119732.399999999</v>
      </c>
      <c r="S32" s="14">
        <f t="shared" si="7"/>
        <v>32212857.600000001</v>
      </c>
      <c r="T32" s="15">
        <v>0.2</v>
      </c>
      <c r="U32" s="14">
        <f t="shared" si="8"/>
        <v>25770286.080000002</v>
      </c>
      <c r="V32" s="3">
        <f t="shared" si="9"/>
        <v>460.80000000000007</v>
      </c>
    </row>
    <row r="33" spans="1:22" ht="45" customHeight="1" x14ac:dyDescent="0.25">
      <c r="A33" s="7">
        <v>28</v>
      </c>
      <c r="B33" s="27" t="str">
        <f>'BD SHEET FROM COMPANY'!B32</f>
        <v>FGWH # 1,2 (GROUND FLOOR)</v>
      </c>
      <c r="C33" s="29">
        <v>1</v>
      </c>
      <c r="D33" s="8" t="s">
        <v>162</v>
      </c>
      <c r="E33" s="9">
        <f>'BD SHEET FROM COMPANY'!K32</f>
        <v>12427.8</v>
      </c>
      <c r="F33" s="9"/>
      <c r="G33" s="95">
        <f t="shared" si="4"/>
        <v>1154.5815178513365</v>
      </c>
      <c r="H33" s="10">
        <f>'BD SHEET FROM COMPANY'!E32</f>
        <v>9.3183999999999987</v>
      </c>
      <c r="I33" s="30">
        <f t="shared" si="5"/>
        <v>2.8401097226455345</v>
      </c>
      <c r="J33" s="31">
        <f>'BD SHEET FROM COMPANY'!F32</f>
        <v>1991</v>
      </c>
      <c r="K33" s="11">
        <v>2022</v>
      </c>
      <c r="L33" s="10">
        <f t="shared" si="6"/>
        <v>31</v>
      </c>
      <c r="M33" s="11">
        <v>60</v>
      </c>
      <c r="N33" s="12">
        <v>0.1</v>
      </c>
      <c r="O33" s="13">
        <f t="shared" si="0"/>
        <v>1.5000000000000001E-2</v>
      </c>
      <c r="P33" s="25">
        <f>IF((H33&lt;=5),VLOOKUP(D33,'building rates'!$B$30:$H$54,2,FALSE),IF(AND(H33&gt;5,H33&lt;=12),VLOOKUP(D33,'building rates'!$B$30:$H$54,3,FALSE),IF(AND(H33&gt;12,H33&lt;=15),VLOOKUP(D33,'building rates'!$B$30:$H$54,4,FALSE),IF(AND(H33&gt;15,H33&lt;=20),VLOOKUP(D33,'building rates'!$B$30:$H$54,5,FALSE),IF(AND(H33&gt;20,H33&lt;=25),VLOOKUP(D33,'building rates'!$B$30:$H$54,6,FALSE),IF(H33&gt;25,VLOOKUP(D33,'building rates'!$B$30:$H$54,7,FALSE),0))))))</f>
        <v>600</v>
      </c>
      <c r="Q33" s="14">
        <f t="shared" si="1"/>
        <v>7456680</v>
      </c>
      <c r="R33" s="14">
        <f t="shared" si="2"/>
        <v>3467356.2</v>
      </c>
      <c r="S33" s="14">
        <f t="shared" si="7"/>
        <v>3989323.8</v>
      </c>
      <c r="T33" s="15">
        <v>0.2</v>
      </c>
      <c r="U33" s="14">
        <f t="shared" si="8"/>
        <v>3191459.04</v>
      </c>
      <c r="V33" s="3">
        <f t="shared" si="9"/>
        <v>256.8</v>
      </c>
    </row>
    <row r="34" spans="1:22" ht="45" customHeight="1" x14ac:dyDescent="0.25">
      <c r="A34" s="7">
        <v>29</v>
      </c>
      <c r="B34" s="27" t="str">
        <f>'BD SHEET FROM COMPANY'!B33</f>
        <v>FGWH # 1,2 (MEZZ. FLOOR), STRUCTURAL</v>
      </c>
      <c r="C34" s="29">
        <v>1</v>
      </c>
      <c r="D34" s="8" t="s">
        <v>166</v>
      </c>
      <c r="E34" s="9">
        <f>'BD SHEET FROM COMPANY'!K33</f>
        <v>20713</v>
      </c>
      <c r="F34" s="9"/>
      <c r="G34" s="95">
        <f t="shared" si="4"/>
        <v>1924.3025297522274</v>
      </c>
      <c r="H34" s="10">
        <f>'BD SHEET FROM COMPANY'!E33</f>
        <v>29.951999999999998</v>
      </c>
      <c r="I34" s="30">
        <f t="shared" si="5"/>
        <v>9.1289241085035044</v>
      </c>
      <c r="J34" s="31">
        <f>'BD SHEET FROM COMPANY'!F33</f>
        <v>1991</v>
      </c>
      <c r="K34" s="11">
        <v>2022</v>
      </c>
      <c r="L34" s="10">
        <f t="shared" si="6"/>
        <v>31</v>
      </c>
      <c r="M34" s="11">
        <v>40</v>
      </c>
      <c r="N34" s="12">
        <v>0.1</v>
      </c>
      <c r="O34" s="13">
        <f t="shared" si="0"/>
        <v>2.2499999999999999E-2</v>
      </c>
      <c r="P34" s="25">
        <f>IF((H34&lt;=5),VLOOKUP(D34,'building rates'!$B$30:$H$54,2,FALSE),IF(AND(H34&gt;5,H34&lt;=12),VLOOKUP(D34,'building rates'!$B$30:$H$54,3,FALSE),IF(AND(H34&gt;12,H34&lt;=15),VLOOKUP(D34,'building rates'!$B$30:$H$54,4,FALSE),IF(AND(H34&gt;15,H34&lt;=20),VLOOKUP(D34,'building rates'!$B$30:$H$54,5,FALSE),IF(AND(H34&gt;20,H34&lt;=25),VLOOKUP(D34,'building rates'!$B$30:$H$54,6,FALSE),IF(H34&gt;25,VLOOKUP(D34,'building rates'!$B$30:$H$54,7,FALSE),0))))))</f>
        <v>900</v>
      </c>
      <c r="Q34" s="14">
        <f t="shared" si="1"/>
        <v>18641700</v>
      </c>
      <c r="R34" s="14">
        <f t="shared" si="2"/>
        <v>13002585.75</v>
      </c>
      <c r="S34" s="14">
        <f t="shared" si="7"/>
        <v>5639114.25</v>
      </c>
      <c r="T34" s="15">
        <v>0.2</v>
      </c>
      <c r="U34" s="14">
        <f t="shared" si="8"/>
        <v>4511291.4000000004</v>
      </c>
      <c r="V34" s="3">
        <f t="shared" si="9"/>
        <v>217.8</v>
      </c>
    </row>
    <row r="35" spans="1:22" ht="45" customHeight="1" x14ac:dyDescent="0.25">
      <c r="A35" s="7">
        <v>30</v>
      </c>
      <c r="B35" s="27" t="str">
        <f>'BD SHEET FROM COMPANY'!B34</f>
        <v>FGWH # 3  (GROUND FLOOR)</v>
      </c>
      <c r="C35" s="29">
        <v>1</v>
      </c>
      <c r="D35" s="8" t="s">
        <v>162</v>
      </c>
      <c r="E35" s="9">
        <f>'BD SHEET FROM COMPANY'!K34</f>
        <v>6213.9</v>
      </c>
      <c r="F35" s="9"/>
      <c r="G35" s="95">
        <f t="shared" si="4"/>
        <v>577.29075892566823</v>
      </c>
      <c r="H35" s="10">
        <f>'BD SHEET FROM COMPANY'!E34</f>
        <v>9.3183999999999987</v>
      </c>
      <c r="I35" s="30">
        <f t="shared" si="5"/>
        <v>2.8401097226455345</v>
      </c>
      <c r="J35" s="31">
        <f>'BD SHEET FROM COMPANY'!F34</f>
        <v>2004</v>
      </c>
      <c r="K35" s="11">
        <v>2022</v>
      </c>
      <c r="L35" s="10">
        <f t="shared" si="6"/>
        <v>18</v>
      </c>
      <c r="M35" s="11">
        <v>60</v>
      </c>
      <c r="N35" s="12">
        <v>0.1</v>
      </c>
      <c r="O35" s="13">
        <f t="shared" si="0"/>
        <v>1.5000000000000001E-2</v>
      </c>
      <c r="P35" s="25">
        <f>IF((H35&lt;=5),VLOOKUP(D35,'building rates'!$B$30:$H$54,2,FALSE),IF(AND(H35&gt;5,H35&lt;=12),VLOOKUP(D35,'building rates'!$B$30:$H$54,3,FALSE),IF(AND(H35&gt;12,H35&lt;=15),VLOOKUP(D35,'building rates'!$B$30:$H$54,4,FALSE),IF(AND(H35&gt;15,H35&lt;=20),VLOOKUP(D35,'building rates'!$B$30:$H$54,5,FALSE),IF(AND(H35&gt;20,H35&lt;=25),VLOOKUP(D35,'building rates'!$B$30:$H$54,6,FALSE),IF(H35&gt;25,VLOOKUP(D35,'building rates'!$B$30:$H$54,7,FALSE),0))))))</f>
        <v>600</v>
      </c>
      <c r="Q35" s="14">
        <f t="shared" si="1"/>
        <v>3728340</v>
      </c>
      <c r="R35" s="14">
        <f t="shared" si="2"/>
        <v>1006651.8</v>
      </c>
      <c r="S35" s="14">
        <f t="shared" si="7"/>
        <v>2721688.2</v>
      </c>
      <c r="T35" s="15">
        <v>0.2</v>
      </c>
      <c r="U35" s="14">
        <f t="shared" si="8"/>
        <v>2177350.56</v>
      </c>
      <c r="V35" s="3">
        <f t="shared" si="9"/>
        <v>350.40000000000003</v>
      </c>
    </row>
    <row r="36" spans="1:22" ht="33.75" customHeight="1" x14ac:dyDescent="0.25">
      <c r="A36" s="7">
        <v>31</v>
      </c>
      <c r="B36" s="27" t="str">
        <f>'BD SHEET FROM COMPANY'!B35</f>
        <v xml:space="preserve">FGWH # 3  (MEZZ. FLOOR), RCC </v>
      </c>
      <c r="C36" s="29">
        <v>1</v>
      </c>
      <c r="D36" s="8" t="s">
        <v>166</v>
      </c>
      <c r="E36" s="9">
        <f>'BD SHEET FROM COMPANY'!K35</f>
        <v>10356.5</v>
      </c>
      <c r="F36" s="9"/>
      <c r="G36" s="95">
        <f t="shared" si="4"/>
        <v>962.15126487611371</v>
      </c>
      <c r="H36" s="10">
        <f>'BD SHEET FROM COMPANY'!E35</f>
        <v>29.951999999999998</v>
      </c>
      <c r="I36" s="30">
        <f t="shared" si="5"/>
        <v>9.1289241085035044</v>
      </c>
      <c r="J36" s="31">
        <f>'BD SHEET FROM COMPANY'!F35</f>
        <v>2004</v>
      </c>
      <c r="K36" s="11">
        <v>2022</v>
      </c>
      <c r="L36" s="10">
        <f t="shared" si="6"/>
        <v>18</v>
      </c>
      <c r="M36" s="11">
        <v>40</v>
      </c>
      <c r="N36" s="12">
        <v>0.1</v>
      </c>
      <c r="O36" s="13">
        <f t="shared" si="0"/>
        <v>2.2499999999999999E-2</v>
      </c>
      <c r="P36" s="25">
        <f>IF((H36&lt;=5),VLOOKUP(D36,'building rates'!$B$30:$H$54,2,FALSE),IF(AND(H36&gt;5,H36&lt;=12),VLOOKUP(D36,'building rates'!$B$30:$H$54,3,FALSE),IF(AND(H36&gt;12,H36&lt;=15),VLOOKUP(D36,'building rates'!$B$30:$H$54,4,FALSE),IF(AND(H36&gt;15,H36&lt;=20),VLOOKUP(D36,'building rates'!$B$30:$H$54,5,FALSE),IF(AND(H36&gt;20,H36&lt;=25),VLOOKUP(D36,'building rates'!$B$30:$H$54,6,FALSE),IF(H36&gt;25,VLOOKUP(D36,'building rates'!$B$30:$H$54,7,FALSE),0))))))</f>
        <v>900</v>
      </c>
      <c r="Q36" s="14">
        <f t="shared" si="1"/>
        <v>9320850</v>
      </c>
      <c r="R36" s="14">
        <f t="shared" si="2"/>
        <v>3774944.25</v>
      </c>
      <c r="S36" s="14">
        <f t="shared" si="7"/>
        <v>5545905.75</v>
      </c>
      <c r="T36" s="15">
        <v>0.2</v>
      </c>
      <c r="U36" s="14">
        <f t="shared" si="8"/>
        <v>4436724.6000000006</v>
      </c>
      <c r="V36" s="3">
        <f t="shared" si="9"/>
        <v>428.40000000000003</v>
      </c>
    </row>
    <row r="37" spans="1:22" ht="45" customHeight="1" x14ac:dyDescent="0.25">
      <c r="A37" s="7">
        <v>32</v>
      </c>
      <c r="B37" s="27" t="str">
        <f>'BD SHEET FROM COMPANY'!B36</f>
        <v xml:space="preserve">FGWH # 4  (GROUND FLOOR) </v>
      </c>
      <c r="C37" s="29">
        <v>1</v>
      </c>
      <c r="D37" s="8" t="s">
        <v>158</v>
      </c>
      <c r="E37" s="9">
        <f>'BD SHEET FROM COMPANY'!K36</f>
        <v>16570.400000000001</v>
      </c>
      <c r="F37" s="9"/>
      <c r="G37" s="95">
        <f t="shared" si="4"/>
        <v>1539.4420238017822</v>
      </c>
      <c r="H37" s="10">
        <f>'BD SHEET FROM COMPANY'!E36</f>
        <v>9.984</v>
      </c>
      <c r="I37" s="30">
        <f t="shared" si="5"/>
        <v>3.0429747028345013</v>
      </c>
      <c r="J37" s="31">
        <f>'BD SHEET FROM COMPANY'!F36</f>
        <v>2006</v>
      </c>
      <c r="K37" s="11">
        <v>2022</v>
      </c>
      <c r="L37" s="10">
        <f t="shared" si="6"/>
        <v>16</v>
      </c>
      <c r="M37" s="11">
        <v>60</v>
      </c>
      <c r="N37" s="12">
        <v>0.1</v>
      </c>
      <c r="O37" s="13">
        <f t="shared" si="0"/>
        <v>1.5000000000000001E-2</v>
      </c>
      <c r="P37" s="25">
        <f>IF((H37&lt;=5),VLOOKUP(D37,'building rates'!$B$30:$H$54,2,FALSE),IF(AND(H37&gt;5,H37&lt;=12),VLOOKUP(D37,'building rates'!$B$30:$H$54,3,FALSE),IF(AND(H37&gt;12,H37&lt;=15),VLOOKUP(D37,'building rates'!$B$30:$H$54,4,FALSE),IF(AND(H37&gt;15,H37&lt;=20),VLOOKUP(D37,'building rates'!$B$30:$H$54,5,FALSE),IF(AND(H37&gt;20,H37&lt;=25),VLOOKUP(D37,'building rates'!$B$30:$H$54,6,FALSE),IF(H37&gt;25,VLOOKUP(D37,'building rates'!$B$30:$H$54,7,FALSE),0))))))</f>
        <v>1000</v>
      </c>
      <c r="Q37" s="14">
        <f t="shared" si="1"/>
        <v>16570400.000000002</v>
      </c>
      <c r="R37" s="14">
        <f t="shared" si="2"/>
        <v>3976896.0000000009</v>
      </c>
      <c r="S37" s="14">
        <f t="shared" si="7"/>
        <v>12593504</v>
      </c>
      <c r="T37" s="15">
        <v>0.25</v>
      </c>
      <c r="U37" s="14">
        <f t="shared" si="8"/>
        <v>9445128</v>
      </c>
      <c r="V37" s="3">
        <f t="shared" si="9"/>
        <v>570</v>
      </c>
    </row>
    <row r="38" spans="1:22" ht="45" customHeight="1" x14ac:dyDescent="0.25">
      <c r="A38" s="7">
        <v>33</v>
      </c>
      <c r="B38" s="27" t="str">
        <f>'BD SHEET FROM COMPANY'!B37</f>
        <v>FGWH # 4  (MEZZ. FLOOR), RCC</v>
      </c>
      <c r="C38" s="29">
        <v>1</v>
      </c>
      <c r="D38" s="8" t="s">
        <v>167</v>
      </c>
      <c r="E38" s="9">
        <f>'BD SHEET FROM COMPANY'!K37</f>
        <v>16570.400000000001</v>
      </c>
      <c r="F38" s="9"/>
      <c r="G38" s="95">
        <f t="shared" si="4"/>
        <v>1539.4420238017822</v>
      </c>
      <c r="H38" s="10">
        <f>'BD SHEET FROM COMPANY'!E37</f>
        <v>29.951999999999998</v>
      </c>
      <c r="I38" s="30">
        <f t="shared" si="5"/>
        <v>9.1289241085035044</v>
      </c>
      <c r="J38" s="31">
        <f>'BD SHEET FROM COMPANY'!F37</f>
        <v>2006</v>
      </c>
      <c r="K38" s="11">
        <v>2022</v>
      </c>
      <c r="L38" s="10">
        <f t="shared" si="6"/>
        <v>16</v>
      </c>
      <c r="M38" s="11">
        <v>60</v>
      </c>
      <c r="N38" s="12">
        <v>0.1</v>
      </c>
      <c r="O38" s="13">
        <f t="shared" si="0"/>
        <v>1.5000000000000001E-2</v>
      </c>
      <c r="P38" s="25">
        <f>IF((H38&lt;=5),VLOOKUP(D38,'building rates'!$B$30:$H$54,2,FALSE),IF(AND(H38&gt;5,H38&lt;=12),VLOOKUP(D38,'building rates'!$B$30:$H$54,3,FALSE),IF(AND(H38&gt;12,H38&lt;=15),VLOOKUP(D38,'building rates'!$B$30:$H$54,4,FALSE),IF(AND(H38&gt;15,H38&lt;=20),VLOOKUP(D38,'building rates'!$B$30:$H$54,5,FALSE),IF(AND(H38&gt;20,H38&lt;=25),VLOOKUP(D38,'building rates'!$B$30:$H$54,6,FALSE),IF(H38&gt;25,VLOOKUP(D38,'building rates'!$B$30:$H$54,7,FALSE),0))))))</f>
        <v>1000</v>
      </c>
      <c r="Q38" s="14">
        <f t="shared" si="1"/>
        <v>16570400.000000002</v>
      </c>
      <c r="R38" s="14">
        <f t="shared" si="2"/>
        <v>3976896.0000000009</v>
      </c>
      <c r="S38" s="14">
        <f t="shared" si="7"/>
        <v>12593504</v>
      </c>
      <c r="T38" s="15">
        <v>0.15</v>
      </c>
      <c r="U38" s="14">
        <f t="shared" si="8"/>
        <v>10704478.4</v>
      </c>
      <c r="V38" s="3">
        <f t="shared" si="9"/>
        <v>646</v>
      </c>
    </row>
    <row r="39" spans="1:22" ht="60" customHeight="1" x14ac:dyDescent="0.25">
      <c r="A39" s="7">
        <v>34</v>
      </c>
      <c r="B39" s="27" t="str">
        <f>'BD SHEET FROM COMPANY'!B38</f>
        <v>FGWH # 5</v>
      </c>
      <c r="C39" s="29">
        <v>1</v>
      </c>
      <c r="D39" s="8" t="s">
        <v>168</v>
      </c>
      <c r="E39" s="9">
        <f>'BD SHEET FROM COMPANY'!K38</f>
        <v>14499.1</v>
      </c>
      <c r="F39" s="16"/>
      <c r="G39" s="95">
        <f t="shared" si="4"/>
        <v>1347.0117708265593</v>
      </c>
      <c r="H39" s="10">
        <f>'BD SHEET FROM COMPANY'!E38</f>
        <v>29.951999999999998</v>
      </c>
      <c r="I39" s="30">
        <f t="shared" si="5"/>
        <v>9.1289241085035044</v>
      </c>
      <c r="J39" s="31">
        <f>'BD SHEET FROM COMPANY'!F38</f>
        <v>2011</v>
      </c>
      <c r="K39" s="11">
        <v>2022</v>
      </c>
      <c r="L39" s="10">
        <f t="shared" si="6"/>
        <v>11</v>
      </c>
      <c r="M39" s="11">
        <v>40</v>
      </c>
      <c r="N39" s="12">
        <v>0.1</v>
      </c>
      <c r="O39" s="13">
        <f t="shared" si="0"/>
        <v>2.2499999999999999E-2</v>
      </c>
      <c r="P39" s="25">
        <f>IF((H39&lt;=5),VLOOKUP(D39,'building rates'!$B$30:$H$54,2,FALSE),IF(AND(H39&gt;5,H39&lt;=12),VLOOKUP(D39,'building rates'!$B$30:$H$54,3,FALSE),IF(AND(H39&gt;12,H39&lt;=15),VLOOKUP(D39,'building rates'!$B$30:$H$54,4,FALSE),IF(AND(H39&gt;15,H39&lt;=20),VLOOKUP(D39,'building rates'!$B$30:$H$54,5,FALSE),IF(AND(H39&gt;20,H39&lt;=25),VLOOKUP(D39,'building rates'!$B$30:$H$54,6,FALSE),IF(H39&gt;25,VLOOKUP(D39,'building rates'!$B$30:$H$54,7,FALSE),0))))))</f>
        <v>1000</v>
      </c>
      <c r="Q39" s="14">
        <f t="shared" si="1"/>
        <v>14499100</v>
      </c>
      <c r="R39" s="14">
        <f t="shared" si="2"/>
        <v>3588527.25</v>
      </c>
      <c r="S39" s="14">
        <f t="shared" si="7"/>
        <v>10910572.75</v>
      </c>
      <c r="T39" s="15">
        <v>0.25</v>
      </c>
      <c r="U39" s="14">
        <f t="shared" si="8"/>
        <v>8182929.5625</v>
      </c>
      <c r="V39" s="3">
        <f t="shared" si="9"/>
        <v>564.375</v>
      </c>
    </row>
    <row r="40" spans="1:22" ht="45" customHeight="1" x14ac:dyDescent="0.25">
      <c r="A40" s="7">
        <v>35</v>
      </c>
      <c r="B40" s="27" t="str">
        <f>'BD SHEET FROM COMPANY'!B39</f>
        <v>ANNEXE GROUND  FLOOR</v>
      </c>
      <c r="C40" s="29">
        <v>1</v>
      </c>
      <c r="D40" s="8" t="s">
        <v>158</v>
      </c>
      <c r="E40" s="9">
        <f>'BD SHEET FROM COMPANY'!K39</f>
        <v>57727.4</v>
      </c>
      <c r="F40" s="9"/>
      <c r="G40" s="95">
        <f t="shared" si="4"/>
        <v>5363.0561413614032</v>
      </c>
      <c r="H40" s="10">
        <f>'BD SHEET FROM COMPANY'!E39</f>
        <v>11.648</v>
      </c>
      <c r="I40" s="30">
        <f t="shared" si="5"/>
        <v>3.5501371533069186</v>
      </c>
      <c r="J40" s="31">
        <f>'BD SHEET FROM COMPANY'!F39</f>
        <v>1991</v>
      </c>
      <c r="K40" s="11">
        <v>2022</v>
      </c>
      <c r="L40" s="10">
        <f t="shared" si="6"/>
        <v>31</v>
      </c>
      <c r="M40" s="11">
        <v>60</v>
      </c>
      <c r="N40" s="12">
        <v>0.1</v>
      </c>
      <c r="O40" s="13">
        <f t="shared" si="0"/>
        <v>1.5000000000000001E-2</v>
      </c>
      <c r="P40" s="25">
        <f>IF((H40&lt;=5),VLOOKUP(D40,'building rates'!$B$30:$H$54,2,FALSE),IF(AND(H40&gt;5,H40&lt;=12),VLOOKUP(D40,'building rates'!$B$30:$H$54,3,FALSE),IF(AND(H40&gt;12,H40&lt;=15),VLOOKUP(D40,'building rates'!$B$30:$H$54,4,FALSE),IF(AND(H40&gt;15,H40&lt;=20),VLOOKUP(D40,'building rates'!$B$30:$H$54,5,FALSE),IF(AND(H40&gt;20,H40&lt;=25),VLOOKUP(D40,'building rates'!$B$30:$H$54,6,FALSE),IF(H40&gt;25,VLOOKUP(D40,'building rates'!$B$30:$H$54,7,FALSE),0))))))</f>
        <v>1000</v>
      </c>
      <c r="Q40" s="14">
        <f t="shared" si="1"/>
        <v>57727400</v>
      </c>
      <c r="R40" s="14">
        <f t="shared" si="2"/>
        <v>26843241.000000004</v>
      </c>
      <c r="S40" s="14">
        <f t="shared" si="7"/>
        <v>30884158.999999996</v>
      </c>
      <c r="T40" s="15">
        <v>0.2</v>
      </c>
      <c r="U40" s="14">
        <f t="shared" si="8"/>
        <v>24707327.199999999</v>
      </c>
      <c r="V40" s="3">
        <f t="shared" si="9"/>
        <v>428</v>
      </c>
    </row>
    <row r="41" spans="1:22" ht="45" customHeight="1" x14ac:dyDescent="0.25">
      <c r="A41" s="7">
        <v>36</v>
      </c>
      <c r="B41" s="27" t="str">
        <f>'BD SHEET FROM COMPANY'!B40</f>
        <v>TYRE REPAIR</v>
      </c>
      <c r="C41" s="29">
        <v>1</v>
      </c>
      <c r="D41" s="8" t="s">
        <v>158</v>
      </c>
      <c r="E41" s="9">
        <f>'BD SHEET FROM COMPANY'!K40</f>
        <v>2509.6624000000002</v>
      </c>
      <c r="F41" s="9"/>
      <c r="G41" s="95">
        <f t="shared" si="4"/>
        <v>233.15549196852444</v>
      </c>
      <c r="H41" s="10">
        <f>'BD SHEET FROM COMPANY'!E40</f>
        <v>13.311999999999999</v>
      </c>
      <c r="I41" s="30">
        <f t="shared" si="5"/>
        <v>4.0572996037793354</v>
      </c>
      <c r="J41" s="31">
        <f>'BD SHEET FROM COMPANY'!F40</f>
        <v>1998</v>
      </c>
      <c r="K41" s="11">
        <v>2022</v>
      </c>
      <c r="L41" s="10">
        <f t="shared" si="6"/>
        <v>24</v>
      </c>
      <c r="M41" s="11">
        <v>60</v>
      </c>
      <c r="N41" s="12">
        <v>0.1</v>
      </c>
      <c r="O41" s="13">
        <f t="shared" si="0"/>
        <v>1.5000000000000001E-2</v>
      </c>
      <c r="P41" s="25">
        <f>IF((H41&lt;=5),VLOOKUP(D41,'building rates'!$B$30:$H$54,2,FALSE),IF(AND(H41&gt;5,H41&lt;=12),VLOOKUP(D41,'building rates'!$B$30:$H$54,3,FALSE),IF(AND(H41&gt;12,H41&lt;=15),VLOOKUP(D41,'building rates'!$B$30:$H$54,4,FALSE),IF(AND(H41&gt;15,H41&lt;=20),VLOOKUP(D41,'building rates'!$B$30:$H$54,5,FALSE),IF(AND(H41&gt;20,H41&lt;=25),VLOOKUP(D41,'building rates'!$B$30:$H$54,6,FALSE),IF(H41&gt;25,VLOOKUP(D41,'building rates'!$B$30:$H$54,7,FALSE),0))))))</f>
        <v>1200</v>
      </c>
      <c r="Q41" s="14">
        <f t="shared" si="1"/>
        <v>3011594.8800000004</v>
      </c>
      <c r="R41" s="14">
        <f t="shared" si="2"/>
        <v>1084174.1568000002</v>
      </c>
      <c r="S41" s="14">
        <f t="shared" si="7"/>
        <v>1927420.7232000001</v>
      </c>
      <c r="T41" s="15">
        <v>0.2</v>
      </c>
      <c r="U41" s="14">
        <f t="shared" si="8"/>
        <v>1541936.5785600003</v>
      </c>
      <c r="V41" s="3">
        <f t="shared" si="9"/>
        <v>614.40000000000009</v>
      </c>
    </row>
    <row r="42" spans="1:22" ht="45" customHeight="1" x14ac:dyDescent="0.25">
      <c r="A42" s="7">
        <v>37</v>
      </c>
      <c r="B42" s="27" t="str">
        <f>'BD SHEET FROM COMPANY'!B41</f>
        <v>TYRE TESTING</v>
      </c>
      <c r="C42" s="29">
        <v>1</v>
      </c>
      <c r="D42" s="22" t="s">
        <v>158</v>
      </c>
      <c r="E42" s="9">
        <f>'BD SHEET FROM COMPANY'!K41</f>
        <v>2509.6624000000002</v>
      </c>
      <c r="F42" s="23"/>
      <c r="G42" s="95">
        <f t="shared" si="4"/>
        <v>233.15549196852444</v>
      </c>
      <c r="H42" s="10">
        <f>'BD SHEET FROM COMPANY'!E41</f>
        <v>23.295999999999999</v>
      </c>
      <c r="I42" s="30">
        <f t="shared" si="5"/>
        <v>7.1002743066138372</v>
      </c>
      <c r="J42" s="31">
        <f>'BD SHEET FROM COMPANY'!F41</f>
        <v>1991</v>
      </c>
      <c r="K42" s="21">
        <v>2022</v>
      </c>
      <c r="L42" s="10">
        <f t="shared" si="6"/>
        <v>31</v>
      </c>
      <c r="M42" s="11">
        <v>60</v>
      </c>
      <c r="N42" s="12">
        <v>0.1</v>
      </c>
      <c r="O42" s="24">
        <f t="shared" si="0"/>
        <v>1.5000000000000001E-2</v>
      </c>
      <c r="P42" s="25">
        <f>IF((H42&lt;=5),VLOOKUP(D42,'building rates'!$B$30:$H$54,2,FALSE),IF(AND(H42&gt;5,H42&lt;=12),VLOOKUP(D42,'building rates'!$B$30:$H$54,3,FALSE),IF(AND(H42&gt;12,H42&lt;=15),VLOOKUP(D42,'building rates'!$B$30:$H$54,4,FALSE),IF(AND(H42&gt;15,H42&lt;=20),VLOOKUP(D42,'building rates'!$B$30:$H$54,5,FALSE),IF(AND(H42&gt;20,H42&lt;=25),VLOOKUP(D42,'building rates'!$B$30:$H$54,6,FALSE),IF(H42&gt;25,VLOOKUP(D42,'building rates'!$B$30:$H$54,7,FALSE),0))))))</f>
        <v>1500</v>
      </c>
      <c r="Q42" s="14">
        <f t="shared" si="1"/>
        <v>3764493.6</v>
      </c>
      <c r="R42" s="14">
        <f t="shared" si="2"/>
        <v>1750489.524</v>
      </c>
      <c r="S42" s="14">
        <f t="shared" si="7"/>
        <v>2014004.0760000001</v>
      </c>
      <c r="T42" s="15">
        <v>0.2</v>
      </c>
      <c r="U42" s="14">
        <f t="shared" si="8"/>
        <v>1611203.2608000003</v>
      </c>
      <c r="V42" s="3">
        <f t="shared" si="9"/>
        <v>642.00000000000011</v>
      </c>
    </row>
    <row r="43" spans="1:22" ht="45" customHeight="1" x14ac:dyDescent="0.25">
      <c r="A43" s="7">
        <v>38</v>
      </c>
      <c r="B43" s="27" t="str">
        <f>'BD SHEET FROM COMPANY'!B42</f>
        <v>AHU &amp; TIOLET</v>
      </c>
      <c r="C43" s="29">
        <v>1</v>
      </c>
      <c r="D43" s="8" t="s">
        <v>158</v>
      </c>
      <c r="E43" s="9">
        <f>'BD SHEET FROM COMPANY'!K42</f>
        <v>7528.9872000000005</v>
      </c>
      <c r="F43" s="9"/>
      <c r="G43" s="95">
        <f t="shared" si="4"/>
        <v>699.46647590557336</v>
      </c>
      <c r="H43" s="10">
        <f>'BD SHEET FROM COMPANY'!E42</f>
        <v>23.295999999999999</v>
      </c>
      <c r="I43" s="30">
        <f t="shared" si="5"/>
        <v>7.1002743066138372</v>
      </c>
      <c r="J43" s="31">
        <f>'BD SHEET FROM COMPANY'!F42</f>
        <v>1991</v>
      </c>
      <c r="K43" s="11">
        <v>2022</v>
      </c>
      <c r="L43" s="10">
        <f t="shared" si="6"/>
        <v>31</v>
      </c>
      <c r="M43" s="11">
        <v>60</v>
      </c>
      <c r="N43" s="12">
        <v>0.1</v>
      </c>
      <c r="O43" s="13">
        <f t="shared" si="0"/>
        <v>1.5000000000000001E-2</v>
      </c>
      <c r="P43" s="25">
        <f>IF((H43&lt;=5),VLOOKUP(D43,'building rates'!$B$30:$H$54,2,FALSE),IF(AND(H43&gt;5,H43&lt;=12),VLOOKUP(D43,'building rates'!$B$30:$H$54,3,FALSE),IF(AND(H43&gt;12,H43&lt;=15),VLOOKUP(D43,'building rates'!$B$30:$H$54,4,FALSE),IF(AND(H43&gt;15,H43&lt;=20),VLOOKUP(D43,'building rates'!$B$30:$H$54,5,FALSE),IF(AND(H43&gt;20,H43&lt;=25),VLOOKUP(D43,'building rates'!$B$30:$H$54,6,FALSE),IF(H43&gt;25,VLOOKUP(D43,'building rates'!$B$30:$H$54,7,FALSE),0))))))</f>
        <v>1500</v>
      </c>
      <c r="Q43" s="14">
        <f t="shared" si="1"/>
        <v>11293480.800000001</v>
      </c>
      <c r="R43" s="14">
        <f t="shared" si="2"/>
        <v>5251468.5720000006</v>
      </c>
      <c r="S43" s="14">
        <f t="shared" si="7"/>
        <v>6042012.2280000001</v>
      </c>
      <c r="T43" s="15">
        <v>0.2</v>
      </c>
      <c r="U43" s="14">
        <f t="shared" si="8"/>
        <v>4833609.7823999999</v>
      </c>
      <c r="V43" s="3">
        <f t="shared" si="9"/>
        <v>642</v>
      </c>
    </row>
    <row r="44" spans="1:22" ht="45" customHeight="1" x14ac:dyDescent="0.25">
      <c r="A44" s="7">
        <v>39</v>
      </c>
      <c r="B44" s="27" t="str">
        <f>'BD SHEET FROM COMPANY'!B43</f>
        <v>MOULD SHOP</v>
      </c>
      <c r="C44" s="29">
        <v>1</v>
      </c>
      <c r="D44" s="8" t="s">
        <v>158</v>
      </c>
      <c r="E44" s="9">
        <f>'BD SHEET FROM COMPANY'!K43</f>
        <v>2509.6624000000002</v>
      </c>
      <c r="F44" s="9"/>
      <c r="G44" s="95">
        <f t="shared" si="4"/>
        <v>233.15549196852444</v>
      </c>
      <c r="H44" s="10">
        <f>'BD SHEET FROM COMPANY'!E43</f>
        <v>23.295999999999999</v>
      </c>
      <c r="I44" s="30">
        <f t="shared" si="5"/>
        <v>7.1002743066138372</v>
      </c>
      <c r="J44" s="31">
        <f>'BD SHEET FROM COMPANY'!F43</f>
        <v>1991</v>
      </c>
      <c r="K44" s="11">
        <v>2022</v>
      </c>
      <c r="L44" s="10">
        <f t="shared" si="6"/>
        <v>31</v>
      </c>
      <c r="M44" s="11">
        <v>60</v>
      </c>
      <c r="N44" s="12">
        <v>0.1</v>
      </c>
      <c r="O44" s="13">
        <f t="shared" si="0"/>
        <v>1.5000000000000001E-2</v>
      </c>
      <c r="P44" s="25">
        <f>IF((H44&lt;=5),VLOOKUP(D44,'building rates'!$B$30:$H$54,2,FALSE),IF(AND(H44&gt;5,H44&lt;=12),VLOOKUP(D44,'building rates'!$B$30:$H$54,3,FALSE),IF(AND(H44&gt;12,H44&lt;=15),VLOOKUP(D44,'building rates'!$B$30:$H$54,4,FALSE),IF(AND(H44&gt;15,H44&lt;=20),VLOOKUP(D44,'building rates'!$B$30:$H$54,5,FALSE),IF(AND(H44&gt;20,H44&lt;=25),VLOOKUP(D44,'building rates'!$B$30:$H$54,6,FALSE),IF(H44&gt;25,VLOOKUP(D44,'building rates'!$B$30:$H$54,7,FALSE),0))))))</f>
        <v>1500</v>
      </c>
      <c r="Q44" s="14">
        <f t="shared" si="1"/>
        <v>3764493.6</v>
      </c>
      <c r="R44" s="14">
        <f t="shared" si="2"/>
        <v>1750489.524</v>
      </c>
      <c r="S44" s="14">
        <f t="shared" si="7"/>
        <v>2014004.0760000001</v>
      </c>
      <c r="T44" s="15">
        <v>0.2</v>
      </c>
      <c r="U44" s="14">
        <f t="shared" si="8"/>
        <v>1611203.2608000003</v>
      </c>
      <c r="V44" s="3">
        <f t="shared" si="9"/>
        <v>642.00000000000011</v>
      </c>
    </row>
    <row r="45" spans="1:22" ht="45" customHeight="1" x14ac:dyDescent="0.25">
      <c r="A45" s="7">
        <v>40</v>
      </c>
      <c r="B45" s="27" t="str">
        <f>'BD SHEET FROM COMPANY'!B44</f>
        <v>SUB STATION &amp; TRANSFORMER (PCC# 3)</v>
      </c>
      <c r="C45" s="29">
        <v>1</v>
      </c>
      <c r="D45" s="8" t="s">
        <v>158</v>
      </c>
      <c r="E45" s="9">
        <f>'BD SHEET FROM COMPANY'!K44</f>
        <v>2509.6624000000002</v>
      </c>
      <c r="F45" s="9"/>
      <c r="G45" s="95">
        <f t="shared" si="4"/>
        <v>233.15549196852444</v>
      </c>
      <c r="H45" s="10">
        <f>'BD SHEET FROM COMPANY'!E44</f>
        <v>23.295999999999999</v>
      </c>
      <c r="I45" s="30">
        <f t="shared" si="5"/>
        <v>7.1002743066138372</v>
      </c>
      <c r="J45" s="31">
        <f>'BD SHEET FROM COMPANY'!F44</f>
        <v>1991</v>
      </c>
      <c r="K45" s="11">
        <v>2022</v>
      </c>
      <c r="L45" s="10">
        <f t="shared" si="6"/>
        <v>31</v>
      </c>
      <c r="M45" s="11">
        <v>60</v>
      </c>
      <c r="N45" s="12">
        <v>0.1</v>
      </c>
      <c r="O45" s="13">
        <f t="shared" si="0"/>
        <v>1.5000000000000001E-2</v>
      </c>
      <c r="P45" s="25">
        <f>IF((H45&lt;=5),VLOOKUP(D45,'building rates'!$B$30:$H$54,2,FALSE),IF(AND(H45&gt;5,H45&lt;=12),VLOOKUP(D45,'building rates'!$B$30:$H$54,3,FALSE),IF(AND(H45&gt;12,H45&lt;=15),VLOOKUP(D45,'building rates'!$B$30:$H$54,4,FALSE),IF(AND(H45&gt;15,H45&lt;=20),VLOOKUP(D45,'building rates'!$B$30:$H$54,5,FALSE),IF(AND(H45&gt;20,H45&lt;=25),VLOOKUP(D45,'building rates'!$B$30:$H$54,6,FALSE),IF(H45&gt;25,VLOOKUP(D45,'building rates'!$B$30:$H$54,7,FALSE),0))))))</f>
        <v>1500</v>
      </c>
      <c r="Q45" s="14">
        <f t="shared" si="1"/>
        <v>3764493.6</v>
      </c>
      <c r="R45" s="14">
        <f t="shared" si="2"/>
        <v>1750489.524</v>
      </c>
      <c r="S45" s="14">
        <f t="shared" si="7"/>
        <v>2014004.0760000001</v>
      </c>
      <c r="T45" s="15">
        <v>0.2</v>
      </c>
      <c r="U45" s="14">
        <f t="shared" si="8"/>
        <v>1611203.2608000003</v>
      </c>
      <c r="V45" s="3">
        <f t="shared" si="9"/>
        <v>642.00000000000011</v>
      </c>
    </row>
    <row r="46" spans="1:22" ht="45" customHeight="1" x14ac:dyDescent="0.25">
      <c r="A46" s="7">
        <v>41</v>
      </c>
      <c r="B46" s="27" t="str">
        <f>'BD SHEET FROM COMPANY'!B45</f>
        <v>ECS ROOM</v>
      </c>
      <c r="C46" s="29">
        <v>1</v>
      </c>
      <c r="D46" s="8" t="s">
        <v>158</v>
      </c>
      <c r="E46" s="9">
        <f>'BD SHEET FROM COMPANY'!K45</f>
        <v>3750.9360000000001</v>
      </c>
      <c r="F46" s="9"/>
      <c r="G46" s="95">
        <f t="shared" si="4"/>
        <v>348.47369447876702</v>
      </c>
      <c r="H46" s="10">
        <f>'BD SHEET FROM COMPANY'!E45</f>
        <v>23.295999999999999</v>
      </c>
      <c r="I46" s="30">
        <f t="shared" si="5"/>
        <v>7.1002743066138372</v>
      </c>
      <c r="J46" s="31">
        <f>'BD SHEET FROM COMPANY'!F45</f>
        <v>1991</v>
      </c>
      <c r="K46" s="11">
        <v>2022</v>
      </c>
      <c r="L46" s="10">
        <f t="shared" si="6"/>
        <v>31</v>
      </c>
      <c r="M46" s="11">
        <v>60</v>
      </c>
      <c r="N46" s="12">
        <v>0.1</v>
      </c>
      <c r="O46" s="13">
        <f t="shared" si="0"/>
        <v>1.5000000000000001E-2</v>
      </c>
      <c r="P46" s="25">
        <f>IF((H46&lt;=5),VLOOKUP(D46,'building rates'!$B$30:$H$54,2,FALSE),IF(AND(H46&gt;5,H46&lt;=12),VLOOKUP(D46,'building rates'!$B$30:$H$54,3,FALSE),IF(AND(H46&gt;12,H46&lt;=15),VLOOKUP(D46,'building rates'!$B$30:$H$54,4,FALSE),IF(AND(H46&gt;15,H46&lt;=20),VLOOKUP(D46,'building rates'!$B$30:$H$54,5,FALSE),IF(AND(H46&gt;20,H46&lt;=25),VLOOKUP(D46,'building rates'!$B$30:$H$54,6,FALSE),IF(H46&gt;25,VLOOKUP(D46,'building rates'!$B$30:$H$54,7,FALSE),0))))))</f>
        <v>1500</v>
      </c>
      <c r="Q46" s="14">
        <f t="shared" si="1"/>
        <v>5626404</v>
      </c>
      <c r="R46" s="14">
        <f t="shared" si="2"/>
        <v>2616277.8600000003</v>
      </c>
      <c r="S46" s="14">
        <f t="shared" si="7"/>
        <v>3010126.1399999997</v>
      </c>
      <c r="T46" s="15">
        <v>0.2</v>
      </c>
      <c r="U46" s="14">
        <f t="shared" si="8"/>
        <v>2408100.912</v>
      </c>
      <c r="V46" s="3">
        <f t="shared" si="9"/>
        <v>642</v>
      </c>
    </row>
    <row r="47" spans="1:22" ht="45" customHeight="1" x14ac:dyDescent="0.25">
      <c r="A47" s="7">
        <v>42</v>
      </c>
      <c r="B47" s="27" t="str">
        <f>'BD SHEET FROM COMPANY'!B46</f>
        <v>TYRE  CAFÉ (PRODUCT GALLERY)</v>
      </c>
      <c r="C47" s="29">
        <v>1</v>
      </c>
      <c r="D47" s="8" t="s">
        <v>158</v>
      </c>
      <c r="E47" s="9">
        <f>'BD SHEET FROM COMPANY'!K46</f>
        <v>3750.9360000000001</v>
      </c>
      <c r="F47" s="16"/>
      <c r="G47" s="95">
        <f t="shared" si="4"/>
        <v>348.47369447876702</v>
      </c>
      <c r="H47" s="10">
        <f>'BD SHEET FROM COMPANY'!E46</f>
        <v>11.648</v>
      </c>
      <c r="I47" s="30">
        <f t="shared" si="5"/>
        <v>3.5501371533069186</v>
      </c>
      <c r="J47" s="31">
        <f>'BD SHEET FROM COMPANY'!F46</f>
        <v>2005</v>
      </c>
      <c r="K47" s="11">
        <v>2022</v>
      </c>
      <c r="L47" s="10">
        <f t="shared" si="6"/>
        <v>17</v>
      </c>
      <c r="M47" s="11">
        <v>65</v>
      </c>
      <c r="N47" s="12">
        <v>0.1</v>
      </c>
      <c r="O47" s="13">
        <f t="shared" si="0"/>
        <v>1.3846153846153847E-2</v>
      </c>
      <c r="P47" s="25">
        <f>IF((H47&lt;=5),VLOOKUP(D47,'building rates'!$B$30:$H$54,2,FALSE),IF(AND(H47&gt;5,H47&lt;=12),VLOOKUP(D47,'building rates'!$B$30:$H$54,3,FALSE),IF(AND(H47&gt;12,H47&lt;=15),VLOOKUP(D47,'building rates'!$B$30:$H$54,4,FALSE),IF(AND(H47&gt;15,H47&lt;=20),VLOOKUP(D47,'building rates'!$B$30:$H$54,5,FALSE),IF(AND(H47&gt;20,H47&lt;=25),VLOOKUP(D47,'building rates'!$B$30:$H$54,6,FALSE),IF(H47&gt;25,VLOOKUP(D47,'building rates'!$B$30:$H$54,7,FALSE),0))))))</f>
        <v>1000</v>
      </c>
      <c r="Q47" s="14">
        <f t="shared" si="1"/>
        <v>3750936</v>
      </c>
      <c r="R47" s="14">
        <f t="shared" si="2"/>
        <v>882912.62769230769</v>
      </c>
      <c r="S47" s="14">
        <f t="shared" si="7"/>
        <v>2868023.3723076922</v>
      </c>
      <c r="T47" s="15">
        <v>0.2</v>
      </c>
      <c r="U47" s="14">
        <f t="shared" si="8"/>
        <v>2294418.6978461538</v>
      </c>
      <c r="V47" s="3">
        <f t="shared" si="9"/>
        <v>611.69230769230762</v>
      </c>
    </row>
    <row r="48" spans="1:22" ht="45" customHeight="1" x14ac:dyDescent="0.25">
      <c r="A48" s="7">
        <v>43</v>
      </c>
      <c r="B48" s="27" t="str">
        <f>'BD SHEET FROM COMPANY'!B47</f>
        <v>LABORATORY</v>
      </c>
      <c r="C48" s="29">
        <v>1</v>
      </c>
      <c r="D48" s="8" t="s">
        <v>158</v>
      </c>
      <c r="E48" s="9">
        <f>'BD SHEET FROM COMPANY'!K47</f>
        <v>2509.6624000000002</v>
      </c>
      <c r="F48" s="16"/>
      <c r="G48" s="95">
        <f t="shared" si="4"/>
        <v>233.15549196852444</v>
      </c>
      <c r="H48" s="10">
        <f>'BD SHEET FROM COMPANY'!E47</f>
        <v>11.648</v>
      </c>
      <c r="I48" s="30">
        <f t="shared" si="5"/>
        <v>3.5501371533069186</v>
      </c>
      <c r="J48" s="31">
        <f>'BD SHEET FROM COMPANY'!F47</f>
        <v>1991</v>
      </c>
      <c r="K48" s="11">
        <v>2022</v>
      </c>
      <c r="L48" s="10">
        <f t="shared" si="6"/>
        <v>31</v>
      </c>
      <c r="M48" s="11">
        <v>60</v>
      </c>
      <c r="N48" s="12">
        <v>0.1</v>
      </c>
      <c r="O48" s="13">
        <f t="shared" si="0"/>
        <v>1.5000000000000001E-2</v>
      </c>
      <c r="P48" s="25">
        <f>IF((H48&lt;=5),VLOOKUP(D48,'building rates'!$B$30:$H$54,2,FALSE),IF(AND(H48&gt;5,H48&lt;=12),VLOOKUP(D48,'building rates'!$B$30:$H$54,3,FALSE),IF(AND(H48&gt;12,H48&lt;=15),VLOOKUP(D48,'building rates'!$B$30:$H$54,4,FALSE),IF(AND(H48&gt;15,H48&lt;=20),VLOOKUP(D48,'building rates'!$B$30:$H$54,5,FALSE),IF(AND(H48&gt;20,H48&lt;=25),VLOOKUP(D48,'building rates'!$B$30:$H$54,6,FALSE),IF(H48&gt;25,VLOOKUP(D48,'building rates'!$B$30:$H$54,7,FALSE),0))))))</f>
        <v>1000</v>
      </c>
      <c r="Q48" s="14">
        <f t="shared" si="1"/>
        <v>2509662.4000000004</v>
      </c>
      <c r="R48" s="14">
        <f t="shared" si="2"/>
        <v>1166993.0160000003</v>
      </c>
      <c r="S48" s="14">
        <f t="shared" si="7"/>
        <v>1342669.3840000001</v>
      </c>
      <c r="T48" s="15">
        <v>0.2</v>
      </c>
      <c r="U48" s="14">
        <f t="shared" si="8"/>
        <v>1074135.5072000001</v>
      </c>
      <c r="V48" s="3">
        <f t="shared" si="9"/>
        <v>428</v>
      </c>
    </row>
    <row r="49" spans="1:23" ht="45" customHeight="1" x14ac:dyDescent="0.25">
      <c r="A49" s="7">
        <v>44</v>
      </c>
      <c r="B49" s="27" t="str">
        <f>'BD SHEET FROM COMPANY'!B48</f>
        <v>BU 2 OFFICE &amp; CHANGING ROOM</v>
      </c>
      <c r="C49" s="29">
        <v>1</v>
      </c>
      <c r="D49" s="8" t="s">
        <v>158</v>
      </c>
      <c r="E49" s="9">
        <f>'BD SHEET FROM COMPANY'!K48</f>
        <v>3750.9360000000001</v>
      </c>
      <c r="F49" s="16"/>
      <c r="G49" s="95">
        <f t="shared" si="4"/>
        <v>348.47369447876702</v>
      </c>
      <c r="H49" s="10">
        <f>'BD SHEET FROM COMPANY'!E48</f>
        <v>11.648</v>
      </c>
      <c r="I49" s="30">
        <f t="shared" si="5"/>
        <v>3.5501371533069186</v>
      </c>
      <c r="J49" s="31">
        <f>'BD SHEET FROM COMPANY'!F48</f>
        <v>1991</v>
      </c>
      <c r="K49" s="11">
        <v>2022</v>
      </c>
      <c r="L49" s="10">
        <f t="shared" si="6"/>
        <v>31</v>
      </c>
      <c r="M49" s="11">
        <v>60</v>
      </c>
      <c r="N49" s="12">
        <v>0.1</v>
      </c>
      <c r="O49" s="13">
        <f t="shared" si="0"/>
        <v>1.5000000000000001E-2</v>
      </c>
      <c r="P49" s="25">
        <f>IF((H49&lt;=5),VLOOKUP(D49,'building rates'!$B$30:$H$54,2,FALSE),IF(AND(H49&gt;5,H49&lt;=12),VLOOKUP(D49,'building rates'!$B$30:$H$54,3,FALSE),IF(AND(H49&gt;12,H49&lt;=15),VLOOKUP(D49,'building rates'!$B$30:$H$54,4,FALSE),IF(AND(H49&gt;15,H49&lt;=20),VLOOKUP(D49,'building rates'!$B$30:$H$54,5,FALSE),IF(AND(H49&gt;20,H49&lt;=25),VLOOKUP(D49,'building rates'!$B$30:$H$54,6,FALSE),IF(H49&gt;25,VLOOKUP(D49,'building rates'!$B$30:$H$54,7,FALSE),0))))))</f>
        <v>1000</v>
      </c>
      <c r="Q49" s="14">
        <f t="shared" si="1"/>
        <v>3750936</v>
      </c>
      <c r="R49" s="14">
        <f t="shared" si="2"/>
        <v>1744185.24</v>
      </c>
      <c r="S49" s="14">
        <f t="shared" si="7"/>
        <v>2006750.76</v>
      </c>
      <c r="T49" s="15">
        <v>0.2</v>
      </c>
      <c r="U49" s="14">
        <f t="shared" si="8"/>
        <v>1605400.608</v>
      </c>
      <c r="V49" s="3">
        <f t="shared" si="9"/>
        <v>428</v>
      </c>
    </row>
    <row r="50" spans="1:23" ht="45" customHeight="1" x14ac:dyDescent="0.25">
      <c r="A50" s="7">
        <v>45</v>
      </c>
      <c r="B50" s="27" t="str">
        <f>'BD SHEET FROM COMPANY'!B49</f>
        <v>ENTYR GATE</v>
      </c>
      <c r="C50" s="7">
        <v>1</v>
      </c>
      <c r="D50" s="8" t="s">
        <v>158</v>
      </c>
      <c r="E50" s="9">
        <f>'BD SHEET FROM COMPANY'!K49</f>
        <v>1254.8312000000001</v>
      </c>
      <c r="F50" s="9"/>
      <c r="G50" s="95">
        <f t="shared" si="4"/>
        <v>116.57774598426222</v>
      </c>
      <c r="H50" s="10">
        <f>'BD SHEET FROM COMPANY'!E49</f>
        <v>11.648</v>
      </c>
      <c r="I50" s="30">
        <f t="shared" si="5"/>
        <v>3.5501371533069186</v>
      </c>
      <c r="J50" s="31">
        <f>'BD SHEET FROM COMPANY'!F49</f>
        <v>1991</v>
      </c>
      <c r="K50" s="11">
        <v>2022</v>
      </c>
      <c r="L50" s="10">
        <f t="shared" si="6"/>
        <v>31</v>
      </c>
      <c r="M50" s="11">
        <v>60</v>
      </c>
      <c r="N50" s="12">
        <v>0.1</v>
      </c>
      <c r="O50" s="13">
        <f t="shared" si="0"/>
        <v>1.5000000000000001E-2</v>
      </c>
      <c r="P50" s="25">
        <f>IF((H50&lt;=5),VLOOKUP(D50,'building rates'!$B$30:$H$54,2,FALSE),IF(AND(H50&gt;5,H50&lt;=12),VLOOKUP(D50,'building rates'!$B$30:$H$54,3,FALSE),IF(AND(H50&gt;12,H50&lt;=15),VLOOKUP(D50,'building rates'!$B$30:$H$54,4,FALSE),IF(AND(H50&gt;15,H50&lt;=20),VLOOKUP(D50,'building rates'!$B$30:$H$54,5,FALSE),IF(AND(H50&gt;20,H50&lt;=25),VLOOKUP(D50,'building rates'!$B$30:$H$54,6,FALSE),IF(H50&gt;25,VLOOKUP(D50,'building rates'!$B$30:$H$54,7,FALSE),0))))))</f>
        <v>1000</v>
      </c>
      <c r="Q50" s="14">
        <f t="shared" si="1"/>
        <v>1254831.2000000002</v>
      </c>
      <c r="R50" s="14">
        <f t="shared" si="2"/>
        <v>583496.50800000015</v>
      </c>
      <c r="S50" s="14">
        <f t="shared" si="7"/>
        <v>671334.69200000004</v>
      </c>
      <c r="T50" s="15">
        <v>0.2</v>
      </c>
      <c r="U50" s="14">
        <f t="shared" si="8"/>
        <v>537067.75360000005</v>
      </c>
      <c r="V50" s="3">
        <f t="shared" si="9"/>
        <v>428</v>
      </c>
    </row>
    <row r="51" spans="1:23" ht="45" customHeight="1" x14ac:dyDescent="0.25">
      <c r="A51" s="7">
        <v>46</v>
      </c>
      <c r="B51" s="27" t="str">
        <f>'BD SHEET FROM COMPANY'!B50</f>
        <v>EMMERGENCY STORE / DOJO ROOM</v>
      </c>
      <c r="C51" s="7">
        <v>1</v>
      </c>
      <c r="D51" s="8" t="s">
        <v>158</v>
      </c>
      <c r="E51" s="9">
        <f>'BD SHEET FROM COMPANY'!K50</f>
        <v>2509.6624000000002</v>
      </c>
      <c r="F51" s="9"/>
      <c r="G51" s="95">
        <f t="shared" si="4"/>
        <v>233.15549196852444</v>
      </c>
      <c r="H51" s="10">
        <f>'BD SHEET FROM COMPANY'!E50</f>
        <v>11.648</v>
      </c>
      <c r="I51" s="30">
        <f t="shared" si="5"/>
        <v>3.5501371533069186</v>
      </c>
      <c r="J51" s="31">
        <f>'BD SHEET FROM COMPANY'!F50</f>
        <v>1991</v>
      </c>
      <c r="K51" s="11">
        <v>2022</v>
      </c>
      <c r="L51" s="10">
        <f t="shared" si="6"/>
        <v>31</v>
      </c>
      <c r="M51" s="11">
        <v>60</v>
      </c>
      <c r="N51" s="12">
        <v>0.1</v>
      </c>
      <c r="O51" s="13">
        <f t="shared" si="0"/>
        <v>1.5000000000000001E-2</v>
      </c>
      <c r="P51" s="25">
        <f>IF((H51&lt;=5),VLOOKUP(D51,'building rates'!$B$30:$H$54,2,FALSE),IF(AND(H51&gt;5,H51&lt;=12),VLOOKUP(D51,'building rates'!$B$30:$H$54,3,FALSE),IF(AND(H51&gt;12,H51&lt;=15),VLOOKUP(D51,'building rates'!$B$30:$H$54,4,FALSE),IF(AND(H51&gt;15,H51&lt;=20),VLOOKUP(D51,'building rates'!$B$30:$H$54,5,FALSE),IF(AND(H51&gt;20,H51&lt;=25),VLOOKUP(D51,'building rates'!$B$30:$H$54,6,FALSE),IF(H51&gt;25,VLOOKUP(D51,'building rates'!$B$30:$H$54,7,FALSE),0))))))</f>
        <v>1000</v>
      </c>
      <c r="Q51" s="14">
        <f t="shared" si="1"/>
        <v>2509662.4000000004</v>
      </c>
      <c r="R51" s="14">
        <f t="shared" si="2"/>
        <v>1166993.0160000003</v>
      </c>
      <c r="S51" s="14">
        <f t="shared" si="7"/>
        <v>1342669.3840000001</v>
      </c>
      <c r="T51" s="15">
        <v>0.2</v>
      </c>
      <c r="U51" s="14">
        <f t="shared" si="8"/>
        <v>1074135.5072000001</v>
      </c>
      <c r="V51" s="3">
        <f t="shared" si="9"/>
        <v>428</v>
      </c>
    </row>
    <row r="52" spans="1:23" ht="45" customHeight="1" x14ac:dyDescent="0.25">
      <c r="A52" s="7">
        <v>47</v>
      </c>
      <c r="B52" s="27" t="str">
        <f>'BD SHEET FROM COMPANY'!B51</f>
        <v>LINER REROLLING AREA</v>
      </c>
      <c r="C52" s="7">
        <v>1</v>
      </c>
      <c r="D52" s="8" t="s">
        <v>158</v>
      </c>
      <c r="E52" s="9">
        <f>'BD SHEET FROM COMPANY'!K51</f>
        <v>3047.4472000000001</v>
      </c>
      <c r="F52" s="9"/>
      <c r="G52" s="95">
        <f t="shared" si="4"/>
        <v>283.11738310463682</v>
      </c>
      <c r="H52" s="10">
        <f>'BD SHEET FROM COMPANY'!E51</f>
        <v>23.295999999999999</v>
      </c>
      <c r="I52" s="30">
        <f t="shared" si="5"/>
        <v>7.1002743066138372</v>
      </c>
      <c r="J52" s="31">
        <f>'BD SHEET FROM COMPANY'!F51</f>
        <v>1991</v>
      </c>
      <c r="K52" s="11">
        <v>2022</v>
      </c>
      <c r="L52" s="10">
        <f t="shared" si="6"/>
        <v>31</v>
      </c>
      <c r="M52" s="11">
        <v>60</v>
      </c>
      <c r="N52" s="12">
        <v>0.1</v>
      </c>
      <c r="O52" s="13">
        <f t="shared" si="0"/>
        <v>1.5000000000000001E-2</v>
      </c>
      <c r="P52" s="25">
        <f>IF((H52&lt;=5),VLOOKUP(D52,'building rates'!$B$30:$H$54,2,FALSE),IF(AND(H52&gt;5,H52&lt;=12),VLOOKUP(D52,'building rates'!$B$30:$H$54,3,FALSE),IF(AND(H52&gt;12,H52&lt;=15),VLOOKUP(D52,'building rates'!$B$30:$H$54,4,FALSE),IF(AND(H52&gt;15,H52&lt;=20),VLOOKUP(D52,'building rates'!$B$30:$H$54,5,FALSE),IF(AND(H52&gt;20,H52&lt;=25),VLOOKUP(D52,'building rates'!$B$30:$H$54,6,FALSE),IF(H52&gt;25,VLOOKUP(D52,'building rates'!$B$30:$H$54,7,FALSE),0))))))</f>
        <v>1500</v>
      </c>
      <c r="Q52" s="14">
        <f t="shared" si="1"/>
        <v>4571170.8</v>
      </c>
      <c r="R52" s="14">
        <f t="shared" si="2"/>
        <v>2125594.4220000003</v>
      </c>
      <c r="S52" s="14">
        <f t="shared" si="7"/>
        <v>2445576.3779999996</v>
      </c>
      <c r="T52" s="15">
        <v>0.2</v>
      </c>
      <c r="U52" s="14">
        <f t="shared" si="8"/>
        <v>1956461.1023999997</v>
      </c>
      <c r="V52" s="3">
        <f t="shared" si="9"/>
        <v>641.99999999999989</v>
      </c>
    </row>
    <row r="53" spans="1:23" ht="75" customHeight="1" x14ac:dyDescent="0.25">
      <c r="A53" s="7">
        <v>48</v>
      </c>
      <c r="B53" s="27" t="str">
        <f>'BD SHEET FROM COMPANY'!B52</f>
        <v>WORK SHOP</v>
      </c>
      <c r="C53" s="7">
        <v>1</v>
      </c>
      <c r="D53" s="8" t="s">
        <v>158</v>
      </c>
      <c r="E53" s="9">
        <f>'BD SHEET FROM COMPANY'!K52</f>
        <v>5557.1096000000007</v>
      </c>
      <c r="F53" s="9"/>
      <c r="G53" s="95">
        <f t="shared" si="4"/>
        <v>516.27287507316134</v>
      </c>
      <c r="H53" s="10">
        <f>'BD SHEET FROM COMPANY'!E52</f>
        <v>23.295999999999999</v>
      </c>
      <c r="I53" s="30">
        <f t="shared" si="5"/>
        <v>7.1002743066138372</v>
      </c>
      <c r="J53" s="31">
        <f>'BD SHEET FROM COMPANY'!F52</f>
        <v>1991</v>
      </c>
      <c r="K53" s="11">
        <v>2022</v>
      </c>
      <c r="L53" s="10">
        <f t="shared" si="6"/>
        <v>31</v>
      </c>
      <c r="M53" s="11">
        <v>60</v>
      </c>
      <c r="N53" s="12">
        <v>0.1</v>
      </c>
      <c r="O53" s="13">
        <f t="shared" si="0"/>
        <v>1.5000000000000001E-2</v>
      </c>
      <c r="P53" s="25">
        <f>IF((H53&lt;=5),VLOOKUP(D53,'building rates'!$B$30:$H$54,2,FALSE),IF(AND(H53&gt;5,H53&lt;=12),VLOOKUP(D53,'building rates'!$B$30:$H$54,3,FALSE),IF(AND(H53&gt;12,H53&lt;=15),VLOOKUP(D53,'building rates'!$B$30:$H$54,4,FALSE),IF(AND(H53&gt;15,H53&lt;=20),VLOOKUP(D53,'building rates'!$B$30:$H$54,5,FALSE),IF(AND(H53&gt;20,H53&lt;=25),VLOOKUP(D53,'building rates'!$B$30:$H$54,6,FALSE),IF(H53&gt;25,VLOOKUP(D53,'building rates'!$B$30:$H$54,7,FALSE),0))))))</f>
        <v>1500</v>
      </c>
      <c r="Q53" s="14">
        <f t="shared" si="1"/>
        <v>8335664.4000000013</v>
      </c>
      <c r="R53" s="14">
        <f t="shared" si="2"/>
        <v>3876083.9460000009</v>
      </c>
      <c r="S53" s="14">
        <f t="shared" si="7"/>
        <v>4459580.4539999999</v>
      </c>
      <c r="T53" s="15">
        <v>0.2</v>
      </c>
      <c r="U53" s="14">
        <f t="shared" si="8"/>
        <v>3567664.3632</v>
      </c>
      <c r="V53" s="3">
        <f t="shared" si="9"/>
        <v>641.99999999999989</v>
      </c>
      <c r="W53" s="8" t="s">
        <v>158</v>
      </c>
    </row>
    <row r="54" spans="1:23" ht="45" customHeight="1" x14ac:dyDescent="0.25">
      <c r="A54" s="7">
        <v>49</v>
      </c>
      <c r="B54" s="27" t="str">
        <f>'BD SHEET FROM COMPANY'!B53</f>
        <v>AC CONTROL ROOM &amp; TRANSFORMER ROOM</v>
      </c>
      <c r="C54" s="7">
        <v>1</v>
      </c>
      <c r="D54" s="8" t="s">
        <v>158</v>
      </c>
      <c r="E54" s="9">
        <f>'BD SHEET FROM COMPANY'!K53</f>
        <v>8432.8271999999997</v>
      </c>
      <c r="F54" s="9"/>
      <c r="G54" s="95">
        <f t="shared" si="4"/>
        <v>783.43604084021592</v>
      </c>
      <c r="H54" s="10">
        <f>'BD SHEET FROM COMPANY'!E53</f>
        <v>23.295999999999999</v>
      </c>
      <c r="I54" s="30">
        <f t="shared" si="5"/>
        <v>7.1002743066138372</v>
      </c>
      <c r="J54" s="31">
        <f>'BD SHEET FROM COMPANY'!F53</f>
        <v>1991</v>
      </c>
      <c r="K54" s="11">
        <v>2022</v>
      </c>
      <c r="L54" s="10">
        <f t="shared" si="6"/>
        <v>31</v>
      </c>
      <c r="M54" s="11">
        <v>60</v>
      </c>
      <c r="N54" s="12">
        <v>0.1</v>
      </c>
      <c r="O54" s="13">
        <f t="shared" si="0"/>
        <v>1.5000000000000001E-2</v>
      </c>
      <c r="P54" s="25">
        <f>IF((H54&lt;=5),VLOOKUP(D54,'building rates'!$B$30:$H$54,2,FALSE),IF(AND(H54&gt;5,H54&lt;=12),VLOOKUP(D54,'building rates'!$B$30:$H$54,3,FALSE),IF(AND(H54&gt;12,H54&lt;=15),VLOOKUP(D54,'building rates'!$B$30:$H$54,4,FALSE),IF(AND(H54&gt;15,H54&lt;=20),VLOOKUP(D54,'building rates'!$B$30:$H$54,5,FALSE),IF(AND(H54&gt;20,H54&lt;=25),VLOOKUP(D54,'building rates'!$B$30:$H$54,6,FALSE),IF(H54&gt;25,VLOOKUP(D54,'building rates'!$B$30:$H$54,7,FALSE),0))))))</f>
        <v>1500</v>
      </c>
      <c r="Q54" s="14">
        <f t="shared" si="1"/>
        <v>12649240.799999999</v>
      </c>
      <c r="R54" s="14">
        <f t="shared" si="2"/>
        <v>5881896.9720000001</v>
      </c>
      <c r="S54" s="14">
        <f t="shared" si="7"/>
        <v>6767343.8279999988</v>
      </c>
      <c r="T54" s="15">
        <v>0.2</v>
      </c>
      <c r="U54" s="14">
        <f t="shared" si="8"/>
        <v>5413875.0623999992</v>
      </c>
      <c r="V54" s="3">
        <f t="shared" si="9"/>
        <v>641.99999999999989</v>
      </c>
    </row>
    <row r="55" spans="1:23" ht="45" customHeight="1" x14ac:dyDescent="0.25">
      <c r="A55" s="7">
        <v>50</v>
      </c>
      <c r="B55" s="27" t="str">
        <f>'BD SHEET FROM COMPANY'!B54</f>
        <v>DC CONTROL ROOM</v>
      </c>
      <c r="C55" s="7">
        <v>1</v>
      </c>
      <c r="D55" s="8" t="s">
        <v>158</v>
      </c>
      <c r="E55" s="9">
        <f>'BD SHEET FROM COMPANY'!K54</f>
        <v>3764.4936000000002</v>
      </c>
      <c r="F55" s="9"/>
      <c r="G55" s="95">
        <f t="shared" si="4"/>
        <v>349.73323795278668</v>
      </c>
      <c r="H55" s="10">
        <f>'BD SHEET FROM COMPANY'!E54</f>
        <v>23.295999999999999</v>
      </c>
      <c r="I55" s="30">
        <f t="shared" si="5"/>
        <v>7.1002743066138372</v>
      </c>
      <c r="J55" s="31">
        <f>'BD SHEET FROM COMPANY'!F54</f>
        <v>1991</v>
      </c>
      <c r="K55" s="11">
        <v>2022</v>
      </c>
      <c r="L55" s="10">
        <f t="shared" si="6"/>
        <v>31</v>
      </c>
      <c r="M55" s="11">
        <v>60</v>
      </c>
      <c r="N55" s="12">
        <v>0.1</v>
      </c>
      <c r="O55" s="13">
        <f t="shared" si="0"/>
        <v>1.5000000000000001E-2</v>
      </c>
      <c r="P55" s="25">
        <f>IF((H55&lt;=5),VLOOKUP(D55,'building rates'!$B$30:$H$54,2,FALSE),IF(AND(H55&gt;5,H55&lt;=12),VLOOKUP(D55,'building rates'!$B$30:$H$54,3,FALSE),IF(AND(H55&gt;12,H55&lt;=15),VLOOKUP(D55,'building rates'!$B$30:$H$54,4,FALSE),IF(AND(H55&gt;15,H55&lt;=20),VLOOKUP(D55,'building rates'!$B$30:$H$54,5,FALSE),IF(AND(H55&gt;20,H55&lt;=25),VLOOKUP(D55,'building rates'!$B$30:$H$54,6,FALSE),IF(H55&gt;25,VLOOKUP(D55,'building rates'!$B$30:$H$54,7,FALSE),0))))))</f>
        <v>1500</v>
      </c>
      <c r="Q55" s="14">
        <f t="shared" si="1"/>
        <v>5646740.4000000004</v>
      </c>
      <c r="R55" s="14">
        <f t="shared" si="2"/>
        <v>2625734.2860000003</v>
      </c>
      <c r="S55" s="14">
        <f t="shared" si="7"/>
        <v>3021006.1140000001</v>
      </c>
      <c r="T55" s="15">
        <v>0.2</v>
      </c>
      <c r="U55" s="14">
        <f t="shared" si="8"/>
        <v>2416804.8912</v>
      </c>
      <c r="V55" s="3">
        <f t="shared" si="9"/>
        <v>642</v>
      </c>
    </row>
    <row r="56" spans="1:23" ht="45" customHeight="1" x14ac:dyDescent="0.25">
      <c r="A56" s="7">
        <v>51</v>
      </c>
      <c r="B56" s="27" t="str">
        <f>'BD SHEET FROM COMPANY'!B55</f>
        <v>ANNEXE OFFICE</v>
      </c>
      <c r="C56" s="7">
        <v>1</v>
      </c>
      <c r="D56" s="8" t="s">
        <v>158</v>
      </c>
      <c r="E56" s="9">
        <f>'BD SHEET FROM COMPANY'!K55</f>
        <v>17567.529200000001</v>
      </c>
      <c r="F56" s="9"/>
      <c r="G56" s="95">
        <f t="shared" si="4"/>
        <v>1632.0784474028931</v>
      </c>
      <c r="H56" s="10">
        <f>'BD SHEET FROM COMPANY'!E55</f>
        <v>13.311999999999999</v>
      </c>
      <c r="I56" s="30">
        <f t="shared" si="5"/>
        <v>4.0572996037793354</v>
      </c>
      <c r="J56" s="31">
        <f>'BD SHEET FROM COMPANY'!F55</f>
        <v>1991</v>
      </c>
      <c r="K56" s="11">
        <v>2022</v>
      </c>
      <c r="L56" s="10">
        <f t="shared" si="6"/>
        <v>31</v>
      </c>
      <c r="M56" s="11">
        <v>60</v>
      </c>
      <c r="N56" s="12">
        <v>0.1</v>
      </c>
      <c r="O56" s="13">
        <f t="shared" si="0"/>
        <v>1.5000000000000001E-2</v>
      </c>
      <c r="P56" s="25">
        <f>IF((H56&lt;=5),VLOOKUP(D56,'building rates'!$B$30:$H$54,2,FALSE),IF(AND(H56&gt;5,H56&lt;=12),VLOOKUP(D56,'building rates'!$B$30:$H$54,3,FALSE),IF(AND(H56&gt;12,H56&lt;=15),VLOOKUP(D56,'building rates'!$B$30:$H$54,4,FALSE),IF(AND(H56&gt;15,H56&lt;=20),VLOOKUP(D56,'building rates'!$B$30:$H$54,5,FALSE),IF(AND(H56&gt;20,H56&lt;=25),VLOOKUP(D56,'building rates'!$B$30:$H$54,6,FALSE),IF(H56&gt;25,VLOOKUP(D56,'building rates'!$B$30:$H$54,7,FALSE),0))))))</f>
        <v>1200</v>
      </c>
      <c r="Q56" s="14">
        <f t="shared" si="1"/>
        <v>21081035.040000003</v>
      </c>
      <c r="R56" s="14">
        <f t="shared" si="2"/>
        <v>9802681.2936000023</v>
      </c>
      <c r="S56" s="14">
        <f t="shared" si="7"/>
        <v>11278353.746400001</v>
      </c>
      <c r="T56" s="15">
        <v>0.2</v>
      </c>
      <c r="U56" s="14">
        <f t="shared" si="8"/>
        <v>9022682.9971200004</v>
      </c>
      <c r="V56" s="3">
        <f t="shared" si="9"/>
        <v>513.6</v>
      </c>
    </row>
    <row r="57" spans="1:23" ht="45" customHeight="1" x14ac:dyDescent="0.25">
      <c r="A57" s="7">
        <v>52</v>
      </c>
      <c r="B57" s="27" t="str">
        <f>'BD SHEET FROM COMPANY'!B56</f>
        <v xml:space="preserve">BULK OIL </v>
      </c>
      <c r="C57" s="7">
        <v>1</v>
      </c>
      <c r="D57" s="8" t="s">
        <v>158</v>
      </c>
      <c r="E57" s="9">
        <f>'BD SHEET FROM COMPANY'!K56</f>
        <v>664.43</v>
      </c>
      <c r="F57" s="9"/>
      <c r="G57" s="95">
        <f t="shared" si="4"/>
        <v>61.727626603740276</v>
      </c>
      <c r="H57" s="10">
        <f>'BD SHEET FROM COMPANY'!E56</f>
        <v>10</v>
      </c>
      <c r="I57" s="30">
        <f t="shared" si="5"/>
        <v>3.047851264858275</v>
      </c>
      <c r="J57" s="31">
        <f>'BD SHEET FROM COMPANY'!F56</f>
        <v>1991</v>
      </c>
      <c r="K57" s="11">
        <v>2022</v>
      </c>
      <c r="L57" s="10">
        <f t="shared" si="6"/>
        <v>31</v>
      </c>
      <c r="M57" s="11">
        <v>60</v>
      </c>
      <c r="N57" s="12">
        <v>0.1</v>
      </c>
      <c r="O57" s="13">
        <f t="shared" si="0"/>
        <v>1.5000000000000001E-2</v>
      </c>
      <c r="P57" s="25">
        <f>IF((H57&lt;=5),VLOOKUP(D57,'building rates'!$B$30:$H$54,2,FALSE),IF(AND(H57&gt;5,H57&lt;=12),VLOOKUP(D57,'building rates'!$B$30:$H$54,3,FALSE),IF(AND(H57&gt;12,H57&lt;=15),VLOOKUP(D57,'building rates'!$B$30:$H$54,4,FALSE),IF(AND(H57&gt;15,H57&lt;=20),VLOOKUP(D57,'building rates'!$B$30:$H$54,5,FALSE),IF(AND(H57&gt;20,H57&lt;=25),VLOOKUP(D57,'building rates'!$B$30:$H$54,6,FALSE),IF(H57&gt;25,VLOOKUP(D57,'building rates'!$B$30:$H$54,7,FALSE),0))))))</f>
        <v>1000</v>
      </c>
      <c r="Q57" s="14">
        <f t="shared" si="1"/>
        <v>664430</v>
      </c>
      <c r="R57" s="14">
        <f t="shared" si="2"/>
        <v>308959.95</v>
      </c>
      <c r="S57" s="14">
        <f t="shared" si="7"/>
        <v>355470.05</v>
      </c>
      <c r="T57" s="15">
        <v>0.2</v>
      </c>
      <c r="U57" s="14">
        <f t="shared" si="8"/>
        <v>284376.03999999998</v>
      </c>
      <c r="V57" s="3">
        <f t="shared" si="9"/>
        <v>428</v>
      </c>
    </row>
    <row r="58" spans="1:23" ht="60" customHeight="1" x14ac:dyDescent="0.25">
      <c r="A58" s="7">
        <v>53</v>
      </c>
      <c r="B58" s="27" t="str">
        <f>'BD SHEET FROM COMPANY'!B57</f>
        <v>CARBON BLACK STORAGE</v>
      </c>
      <c r="C58" s="7">
        <v>1</v>
      </c>
      <c r="D58" s="8" t="s">
        <v>165</v>
      </c>
      <c r="E58" s="9">
        <f>'BD SHEET FROM COMPANY'!K57</f>
        <v>13226.998117680001</v>
      </c>
      <c r="F58" s="9"/>
      <c r="G58" s="95">
        <f t="shared" si="4"/>
        <v>1228.8295243991492</v>
      </c>
      <c r="H58" s="10">
        <f>'BD SHEET FROM COMPANY'!E57</f>
        <v>18.303999999999998</v>
      </c>
      <c r="I58" s="30">
        <f t="shared" si="5"/>
        <v>5.5787869551965859</v>
      </c>
      <c r="J58" s="31">
        <f>'BD SHEET FROM COMPANY'!F57</f>
        <v>1991</v>
      </c>
      <c r="K58" s="11">
        <v>2022</v>
      </c>
      <c r="L58" s="10">
        <f t="shared" si="6"/>
        <v>31</v>
      </c>
      <c r="M58" s="11">
        <v>40</v>
      </c>
      <c r="N58" s="12">
        <v>0.1</v>
      </c>
      <c r="O58" s="13">
        <f t="shared" si="0"/>
        <v>2.2499999999999999E-2</v>
      </c>
      <c r="P58" s="25">
        <f>IF((H58&lt;=5),VLOOKUP(D58,'building rates'!$B$30:$H$54,2,FALSE),IF(AND(H58&gt;5,H58&lt;=12),VLOOKUP(D58,'building rates'!$B$30:$H$54,3,FALSE),IF(AND(H58&gt;12,H58&lt;=15),VLOOKUP(D58,'building rates'!$B$30:$H$54,4,FALSE),IF(AND(H58&gt;15,H58&lt;=20),VLOOKUP(D58,'building rates'!$B$30:$H$54,5,FALSE),IF(AND(H58&gt;20,H58&lt;=25),VLOOKUP(D58,'building rates'!$B$30:$H$54,6,FALSE),IF(H58&gt;25,VLOOKUP(D58,'building rates'!$B$30:$H$54,7,FALSE),0))))))</f>
        <v>700</v>
      </c>
      <c r="Q58" s="14">
        <f t="shared" si="1"/>
        <v>9258898.682376001</v>
      </c>
      <c r="R58" s="14">
        <f t="shared" si="2"/>
        <v>6458081.8309572609</v>
      </c>
      <c r="S58" s="14">
        <f t="shared" si="7"/>
        <v>2800816.8514187401</v>
      </c>
      <c r="T58" s="15">
        <v>0.2</v>
      </c>
      <c r="U58" s="14">
        <f t="shared" si="8"/>
        <v>2240653.4811349921</v>
      </c>
      <c r="V58" s="3">
        <f t="shared" si="9"/>
        <v>169.4</v>
      </c>
    </row>
    <row r="59" spans="1:23" ht="60" customHeight="1" x14ac:dyDescent="0.25">
      <c r="A59" s="7">
        <v>54</v>
      </c>
      <c r="B59" s="27" t="str">
        <f>'BD SHEET FROM COMPANY'!B58</f>
        <v>CARBON BLACK STORAGE (MACHINE ROOM)</v>
      </c>
      <c r="C59" s="7">
        <v>1</v>
      </c>
      <c r="D59" s="8" t="s">
        <v>165</v>
      </c>
      <c r="E59" s="9">
        <f>'BD SHEET FROM COMPANY'!K58</f>
        <v>2025.7491539999999</v>
      </c>
      <c r="F59" s="9"/>
      <c r="G59" s="95">
        <f t="shared" si="4"/>
        <v>188.19843681193618</v>
      </c>
      <c r="H59" s="10">
        <f>'BD SHEET FROM COMPANY'!E58</f>
        <v>36.607999999999997</v>
      </c>
      <c r="I59" s="30">
        <f t="shared" si="5"/>
        <v>11.157573910393172</v>
      </c>
      <c r="J59" s="31">
        <f>'BD SHEET FROM COMPANY'!F58</f>
        <v>1991</v>
      </c>
      <c r="K59" s="11">
        <v>2022</v>
      </c>
      <c r="L59" s="10">
        <f t="shared" si="6"/>
        <v>31</v>
      </c>
      <c r="M59" s="11">
        <v>40</v>
      </c>
      <c r="N59" s="12">
        <v>0.1</v>
      </c>
      <c r="O59" s="13">
        <f t="shared" si="0"/>
        <v>2.2499999999999999E-2</v>
      </c>
      <c r="P59" s="25">
        <f>IF((H59&lt;=5),VLOOKUP(D59,'building rates'!$B$30:$H$54,2,FALSE),IF(AND(H59&gt;5,H59&lt;=12),VLOOKUP(D59,'building rates'!$B$30:$H$54,3,FALSE),IF(AND(H59&gt;12,H59&lt;=15),VLOOKUP(D59,'building rates'!$B$30:$H$54,4,FALSE),IF(AND(H59&gt;15,H59&lt;=20),VLOOKUP(D59,'building rates'!$B$30:$H$54,5,FALSE),IF(AND(H59&gt;20,H59&lt;=25),VLOOKUP(D59,'building rates'!$B$30:$H$54,6,FALSE),IF(H59&gt;25,VLOOKUP(D59,'building rates'!$B$30:$H$54,7,FALSE),0))))))</f>
        <v>1100</v>
      </c>
      <c r="Q59" s="14">
        <f t="shared" si="1"/>
        <v>2228324.0693999999</v>
      </c>
      <c r="R59" s="14">
        <f t="shared" si="2"/>
        <v>1554256.0384064999</v>
      </c>
      <c r="S59" s="14">
        <f t="shared" si="7"/>
        <v>674068.03099350003</v>
      </c>
      <c r="T59" s="15">
        <v>0.2</v>
      </c>
      <c r="U59" s="14">
        <f t="shared" si="8"/>
        <v>539254.4247948</v>
      </c>
      <c r="V59" s="3">
        <f t="shared" si="9"/>
        <v>266.2</v>
      </c>
    </row>
    <row r="60" spans="1:23" ht="45" customHeight="1" x14ac:dyDescent="0.25">
      <c r="A60" s="7">
        <v>55</v>
      </c>
      <c r="B60" s="27" t="str">
        <f>'BD SHEET FROM COMPANY'!B59</f>
        <v>CARBON BLACK STORAGE (BLOWER &amp; CONTROL ROOM)</v>
      </c>
      <c r="C60" s="7">
        <v>1</v>
      </c>
      <c r="D60" s="8" t="s">
        <v>158</v>
      </c>
      <c r="E60" s="9">
        <f>'BD SHEET FROM COMPANY'!K59</f>
        <v>677.88</v>
      </c>
      <c r="F60" s="9"/>
      <c r="G60" s="95">
        <f t="shared" si="4"/>
        <v>62.977173700981986</v>
      </c>
      <c r="H60" s="10">
        <f>'BD SHEET FROM COMPANY'!E59</f>
        <v>9.3183999999999987</v>
      </c>
      <c r="I60" s="30">
        <f t="shared" si="5"/>
        <v>2.8401097226455345</v>
      </c>
      <c r="J60" s="31">
        <f>'BD SHEET FROM COMPANY'!F59</f>
        <v>1991</v>
      </c>
      <c r="K60" s="11">
        <v>2022</v>
      </c>
      <c r="L60" s="10">
        <f t="shared" si="6"/>
        <v>31</v>
      </c>
      <c r="M60" s="11">
        <v>60</v>
      </c>
      <c r="N60" s="12">
        <v>0.1</v>
      </c>
      <c r="O60" s="13">
        <f t="shared" si="0"/>
        <v>1.5000000000000001E-2</v>
      </c>
      <c r="P60" s="25">
        <f>IF((H60&lt;=5),VLOOKUP(D60,'building rates'!$B$30:$H$54,2,FALSE),IF(AND(H60&gt;5,H60&lt;=12),VLOOKUP(D60,'building rates'!$B$30:$H$54,3,FALSE),IF(AND(H60&gt;12,H60&lt;=15),VLOOKUP(D60,'building rates'!$B$30:$H$54,4,FALSE),IF(AND(H60&gt;15,H60&lt;=20),VLOOKUP(D60,'building rates'!$B$30:$H$54,5,FALSE),IF(AND(H60&gt;20,H60&lt;=25),VLOOKUP(D60,'building rates'!$B$30:$H$54,6,FALSE),IF(H60&gt;25,VLOOKUP(D60,'building rates'!$B$30:$H$54,7,FALSE),0))))))</f>
        <v>1000</v>
      </c>
      <c r="Q60" s="14">
        <f t="shared" si="1"/>
        <v>677880</v>
      </c>
      <c r="R60" s="14">
        <f t="shared" si="2"/>
        <v>315214.2</v>
      </c>
      <c r="S60" s="14">
        <f t="shared" si="7"/>
        <v>362665.8</v>
      </c>
      <c r="T60" s="15">
        <v>0.2</v>
      </c>
      <c r="U60" s="14">
        <f t="shared" si="8"/>
        <v>290132.64</v>
      </c>
      <c r="V60" s="3">
        <f t="shared" si="9"/>
        <v>428</v>
      </c>
    </row>
    <row r="61" spans="1:23" ht="16.5" x14ac:dyDescent="0.25">
      <c r="A61" s="7">
        <v>56</v>
      </c>
      <c r="B61" s="27" t="str">
        <f>'BD SHEET FROM COMPANY'!B60</f>
        <v xml:space="preserve">ELASTO TANK </v>
      </c>
      <c r="C61" s="7">
        <v>0</v>
      </c>
      <c r="D61" s="8" t="s">
        <v>169</v>
      </c>
      <c r="E61" s="9">
        <f>'BD SHEET FROM COMPANY'!K60</f>
        <v>2318.7799999999997</v>
      </c>
      <c r="F61" s="9"/>
      <c r="G61" s="95">
        <f t="shared" si="4"/>
        <v>215.4219195644701</v>
      </c>
      <c r="H61" s="10">
        <f>'BD SHEET FROM COMPANY'!E60</f>
        <v>0</v>
      </c>
      <c r="I61" s="30">
        <f t="shared" si="5"/>
        <v>0</v>
      </c>
      <c r="J61" s="31">
        <f>'BD SHEET FROM COMPANY'!F60</f>
        <v>1991</v>
      </c>
      <c r="K61" s="11">
        <v>2022</v>
      </c>
      <c r="L61" s="10">
        <f t="shared" si="6"/>
        <v>31</v>
      </c>
      <c r="M61" s="11">
        <v>60</v>
      </c>
      <c r="N61" s="12">
        <v>0.1</v>
      </c>
      <c r="O61" s="13">
        <v>0</v>
      </c>
      <c r="P61" s="25">
        <f>IF((H61&lt;=5),VLOOKUP(D61,'building rates'!$B$30:$H$54,2,FALSE),IF(AND(H61&gt;5,H61&lt;=12),VLOOKUP(D61,'building rates'!$B$30:$H$54,3,FALSE),IF(AND(H61&gt;12,H61&lt;=15),VLOOKUP(D61,'building rates'!$B$30:$H$54,4,FALSE),IF(AND(H61&gt;15,H61&lt;=20),VLOOKUP(D61,'building rates'!$B$30:$H$54,5,FALSE),IF(AND(H61&gt;20,H61&lt;=25),VLOOKUP(D61,'building rates'!$B$30:$H$54,6,FALSE),IF(H61&gt;25,VLOOKUP(D61,'building rates'!$B$30:$H$54,7,FALSE),0))))))</f>
        <v>100</v>
      </c>
      <c r="Q61" s="14">
        <f t="shared" si="1"/>
        <v>231877.99999999997</v>
      </c>
      <c r="R61" s="14">
        <f t="shared" si="2"/>
        <v>0</v>
      </c>
      <c r="S61" s="14">
        <f t="shared" si="7"/>
        <v>231877.99999999997</v>
      </c>
      <c r="T61" s="15">
        <v>0.2</v>
      </c>
      <c r="U61" s="14">
        <f t="shared" si="8"/>
        <v>185502.4</v>
      </c>
      <c r="V61" s="3">
        <f t="shared" si="9"/>
        <v>80</v>
      </c>
    </row>
    <row r="62" spans="1:23" ht="45" customHeight="1" x14ac:dyDescent="0.25">
      <c r="A62" s="7">
        <v>57</v>
      </c>
      <c r="B62" s="27" t="str">
        <f>'BD SHEET FROM COMPANY'!B61</f>
        <v>ELASTO TANK (CONTROL ROOM)</v>
      </c>
      <c r="C62" s="7">
        <v>1</v>
      </c>
      <c r="D62" s="8" t="s">
        <v>158</v>
      </c>
      <c r="E62" s="9">
        <f>'BD SHEET FROM COMPANY'!K61</f>
        <v>473.44</v>
      </c>
      <c r="F62" s="9"/>
      <c r="G62" s="95">
        <f t="shared" si="4"/>
        <v>43.984057822908056</v>
      </c>
      <c r="H62" s="10">
        <f>'BD SHEET FROM COMPANY'!E61</f>
        <v>13.311999999999999</v>
      </c>
      <c r="I62" s="30">
        <f t="shared" si="5"/>
        <v>4.0572996037793354</v>
      </c>
      <c r="J62" s="31">
        <f>'BD SHEET FROM COMPANY'!F61</f>
        <v>1991</v>
      </c>
      <c r="K62" s="11">
        <v>2022</v>
      </c>
      <c r="L62" s="10">
        <f t="shared" si="6"/>
        <v>31</v>
      </c>
      <c r="M62" s="11">
        <v>60</v>
      </c>
      <c r="N62" s="12">
        <v>0.1</v>
      </c>
      <c r="O62" s="13">
        <f t="shared" si="0"/>
        <v>1.5000000000000001E-2</v>
      </c>
      <c r="P62" s="25">
        <f>IF((H62&lt;=5),VLOOKUP(D62,'building rates'!$B$30:$H$54,2,FALSE),IF(AND(H62&gt;5,H62&lt;=12),VLOOKUP(D62,'building rates'!$B$30:$H$54,3,FALSE),IF(AND(H62&gt;12,H62&lt;=15),VLOOKUP(D62,'building rates'!$B$30:$H$54,4,FALSE),IF(AND(H62&gt;15,H62&lt;=20),VLOOKUP(D62,'building rates'!$B$30:$H$54,5,FALSE),IF(AND(H62&gt;20,H62&lt;=25),VLOOKUP(D62,'building rates'!$B$30:$H$54,6,FALSE),IF(H62&gt;25,VLOOKUP(D62,'building rates'!$B$30:$H$54,7,FALSE),0))))))</f>
        <v>1200</v>
      </c>
      <c r="Q62" s="14">
        <f t="shared" si="1"/>
        <v>568128</v>
      </c>
      <c r="R62" s="14">
        <f t="shared" si="2"/>
        <v>264179.52</v>
      </c>
      <c r="S62" s="14">
        <f t="shared" si="7"/>
        <v>303948.48</v>
      </c>
      <c r="T62" s="15">
        <v>0.2</v>
      </c>
      <c r="U62" s="14">
        <f t="shared" si="8"/>
        <v>243158.78399999999</v>
      </c>
      <c r="V62" s="3">
        <f t="shared" si="9"/>
        <v>513.6</v>
      </c>
    </row>
    <row r="63" spans="1:23" ht="16.5" x14ac:dyDescent="0.25">
      <c r="A63" s="7">
        <v>58</v>
      </c>
      <c r="B63" s="27" t="str">
        <f>'BD SHEET FROM COMPANY'!B62</f>
        <v>10 KL HSD TANK</v>
      </c>
      <c r="C63" s="7">
        <v>0</v>
      </c>
      <c r="D63" s="8" t="s">
        <v>169</v>
      </c>
      <c r="E63" s="9">
        <f>'BD SHEET FROM COMPANY'!K62</f>
        <v>439.86880000000002</v>
      </c>
      <c r="F63" s="16">
        <f>10*1000</f>
        <v>10000</v>
      </c>
      <c r="G63" s="95">
        <f t="shared" si="4"/>
        <v>40.86518826819276</v>
      </c>
      <c r="H63" s="10">
        <f>'BD SHEET FROM COMPANY'!E62</f>
        <v>0</v>
      </c>
      <c r="I63" s="30">
        <f t="shared" si="5"/>
        <v>0</v>
      </c>
      <c r="J63" s="31">
        <f>'BD SHEET FROM COMPANY'!F62</f>
        <v>1991</v>
      </c>
      <c r="K63" s="11">
        <v>2022</v>
      </c>
      <c r="L63" s="10">
        <f t="shared" si="6"/>
        <v>31</v>
      </c>
      <c r="M63" s="11">
        <v>60</v>
      </c>
      <c r="N63" s="12">
        <v>0.1</v>
      </c>
      <c r="O63" s="13">
        <v>0</v>
      </c>
      <c r="P63" s="35">
        <v>18</v>
      </c>
      <c r="Q63" s="14">
        <f>F63*P63</f>
        <v>180000</v>
      </c>
      <c r="R63" s="14">
        <f t="shared" si="2"/>
        <v>0</v>
      </c>
      <c r="S63" s="14">
        <f t="shared" si="7"/>
        <v>180000</v>
      </c>
      <c r="T63" s="15">
        <v>0.2</v>
      </c>
      <c r="U63" s="14">
        <f t="shared" si="8"/>
        <v>144000</v>
      </c>
      <c r="V63" s="3">
        <f t="shared" si="9"/>
        <v>327.37034315686856</v>
      </c>
    </row>
    <row r="64" spans="1:23" ht="60" customHeight="1" x14ac:dyDescent="0.25">
      <c r="A64" s="7">
        <v>59</v>
      </c>
      <c r="B64" s="27" t="str">
        <f>'BD SHEET FROM COMPANY'!B63</f>
        <v>CPH (CEMENT HOUSE)</v>
      </c>
      <c r="C64" s="7">
        <v>1</v>
      </c>
      <c r="D64" s="8" t="s">
        <v>170</v>
      </c>
      <c r="E64" s="9">
        <f>'BD SHEET FROM COMPANY'!K63</f>
        <v>2051.1788000000001</v>
      </c>
      <c r="F64" s="9"/>
      <c r="G64" s="95">
        <f t="shared" si="4"/>
        <v>190.56093051774917</v>
      </c>
      <c r="H64" s="10">
        <f>'BD SHEET FROM COMPANY'!E63</f>
        <v>19.968</v>
      </c>
      <c r="I64" s="30">
        <f t="shared" si="5"/>
        <v>6.0859494056690027</v>
      </c>
      <c r="J64" s="31">
        <f>'BD SHEET FROM COMPANY'!F63</f>
        <v>1991</v>
      </c>
      <c r="K64" s="11">
        <v>2022</v>
      </c>
      <c r="L64" s="10">
        <f t="shared" si="6"/>
        <v>31</v>
      </c>
      <c r="M64" s="11">
        <v>40</v>
      </c>
      <c r="N64" s="12">
        <v>0.1</v>
      </c>
      <c r="O64" s="13">
        <f t="shared" si="0"/>
        <v>2.2499999999999999E-2</v>
      </c>
      <c r="P64" s="25">
        <f>IF((H64&lt;=5),VLOOKUP(D64,'building rates'!$B$30:$H$54,2,FALSE),IF(AND(H64&gt;5,H64&lt;=12),VLOOKUP(D64,'building rates'!$B$30:$H$54,3,FALSE),IF(AND(H64&gt;12,H64&lt;=15),VLOOKUP(D64,'building rates'!$B$30:$H$54,4,FALSE),IF(AND(H64&gt;15,H64&lt;=20),VLOOKUP(D64,'building rates'!$B$30:$H$54,5,FALSE),IF(AND(H64&gt;20,H64&lt;=25),VLOOKUP(D64,'building rates'!$B$30:$H$54,6,FALSE),IF(H64&gt;25,VLOOKUP(D64,'building rates'!$B$30:$H$54,7,FALSE),0))))))</f>
        <v>700</v>
      </c>
      <c r="Q64" s="14">
        <f t="shared" si="1"/>
        <v>1435825.1600000001</v>
      </c>
      <c r="R64" s="14">
        <f t="shared" si="2"/>
        <v>1001488.0491000001</v>
      </c>
      <c r="S64" s="14">
        <f t="shared" si="7"/>
        <v>434337.11090000009</v>
      </c>
      <c r="T64" s="15">
        <v>0.2</v>
      </c>
      <c r="U64" s="14">
        <f t="shared" si="8"/>
        <v>347469.68872000009</v>
      </c>
      <c r="V64" s="3">
        <f t="shared" si="9"/>
        <v>169.40000000000003</v>
      </c>
    </row>
    <row r="65" spans="1:22" ht="15" customHeight="1" x14ac:dyDescent="0.25">
      <c r="A65" s="7">
        <v>60</v>
      </c>
      <c r="B65" s="27" t="str">
        <f>'BD SHEET FROM COMPANY'!B64</f>
        <v>COOLING TOWER NO. 1</v>
      </c>
      <c r="C65" s="7">
        <v>0</v>
      </c>
      <c r="D65" s="8" t="s">
        <v>169</v>
      </c>
      <c r="E65" s="9">
        <f>'BD SHEET FROM COMPANY'!K64</f>
        <v>2944.1511999999998</v>
      </c>
      <c r="F65" s="9"/>
      <c r="G65" s="95">
        <f t="shared" si="4"/>
        <v>273.52086139782051</v>
      </c>
      <c r="H65" s="10">
        <f>'BD SHEET FROM COMPANY'!E64</f>
        <v>0</v>
      </c>
      <c r="I65" s="30">
        <f t="shared" si="5"/>
        <v>0</v>
      </c>
      <c r="J65" s="31">
        <f>'BD SHEET FROM COMPANY'!F64</f>
        <v>1991</v>
      </c>
      <c r="K65" s="11">
        <v>2022</v>
      </c>
      <c r="L65" s="10">
        <f t="shared" si="6"/>
        <v>31</v>
      </c>
      <c r="M65" s="11">
        <v>60</v>
      </c>
      <c r="N65" s="12">
        <v>0.1</v>
      </c>
      <c r="O65" s="13">
        <v>0</v>
      </c>
      <c r="P65" s="25">
        <f>IF((H65&lt;=5),VLOOKUP(D65,'building rates'!$B$30:$H$54,2,FALSE),IF(AND(H65&gt;5,H65&lt;=12),VLOOKUP(D65,'building rates'!$B$30:$H$54,3,FALSE),IF(AND(H65&gt;12,H65&lt;=15),VLOOKUP(D65,'building rates'!$B$30:$H$54,4,FALSE),IF(AND(H65&gt;15,H65&lt;=20),VLOOKUP(D65,'building rates'!$B$30:$H$54,5,FALSE),IF(AND(H65&gt;20,H65&lt;=25),VLOOKUP(D65,'building rates'!$B$30:$H$54,6,FALSE),IF(H65&gt;25,VLOOKUP(D65,'building rates'!$B$30:$H$54,7,FALSE),0))))))</f>
        <v>100</v>
      </c>
      <c r="Q65" s="14">
        <f t="shared" si="1"/>
        <v>294415.12</v>
      </c>
      <c r="R65" s="14">
        <f t="shared" si="2"/>
        <v>0</v>
      </c>
      <c r="S65" s="14">
        <f t="shared" si="7"/>
        <v>294415.12</v>
      </c>
      <c r="T65" s="15">
        <v>0.2</v>
      </c>
      <c r="U65" s="14">
        <f t="shared" si="8"/>
        <v>235532.09600000002</v>
      </c>
      <c r="V65" s="3">
        <f t="shared" si="9"/>
        <v>80.000000000000014</v>
      </c>
    </row>
    <row r="66" spans="1:22" ht="60" customHeight="1" x14ac:dyDescent="0.25">
      <c r="A66" s="7">
        <v>61</v>
      </c>
      <c r="B66" s="27" t="str">
        <f>'BD SHEET FROM COMPANY'!B65</f>
        <v>COMPRESSOR/CHILLER</v>
      </c>
      <c r="C66" s="7">
        <v>1</v>
      </c>
      <c r="D66" s="8" t="s">
        <v>170</v>
      </c>
      <c r="E66" s="9">
        <f>'BD SHEET FROM COMPANY'!K65</f>
        <v>12080.144400000001</v>
      </c>
      <c r="F66" s="9"/>
      <c r="G66" s="95">
        <f t="shared" si="4"/>
        <v>1122.283224481833</v>
      </c>
      <c r="H66" s="10">
        <f>'BD SHEET FROM COMPANY'!E65</f>
        <v>19.968</v>
      </c>
      <c r="I66" s="30">
        <f t="shared" si="5"/>
        <v>6.0859494056690027</v>
      </c>
      <c r="J66" s="31">
        <f>'BD SHEET FROM COMPANY'!F65</f>
        <v>1991</v>
      </c>
      <c r="K66" s="11">
        <v>2022</v>
      </c>
      <c r="L66" s="10">
        <f t="shared" si="6"/>
        <v>31</v>
      </c>
      <c r="M66" s="11">
        <v>40</v>
      </c>
      <c r="N66" s="12">
        <v>0.1</v>
      </c>
      <c r="O66" s="13">
        <f t="shared" si="0"/>
        <v>2.2499999999999999E-2</v>
      </c>
      <c r="P66" s="25">
        <f>IF((H66&lt;=5),VLOOKUP(D66,'building rates'!$B$30:$H$54,2,FALSE),IF(AND(H66&gt;5,H66&lt;=12),VLOOKUP(D66,'building rates'!$B$30:$H$54,3,FALSE),IF(AND(H66&gt;12,H66&lt;=15),VLOOKUP(D66,'building rates'!$B$30:$H$54,4,FALSE),IF(AND(H66&gt;15,H66&lt;=20),VLOOKUP(D66,'building rates'!$B$30:$H$54,5,FALSE),IF(AND(H66&gt;20,H66&lt;=25),VLOOKUP(D66,'building rates'!$B$30:$H$54,6,FALSE),IF(H66&gt;25,VLOOKUP(D66,'building rates'!$B$30:$H$54,7,FALSE),0))))))</f>
        <v>700</v>
      </c>
      <c r="Q66" s="14">
        <f t="shared" si="1"/>
        <v>8456101.0800000001</v>
      </c>
      <c r="R66" s="14">
        <f t="shared" si="2"/>
        <v>5898130.5033</v>
      </c>
      <c r="S66" s="14">
        <f t="shared" si="7"/>
        <v>2557970.5767000001</v>
      </c>
      <c r="T66" s="15">
        <v>0.2</v>
      </c>
      <c r="U66" s="14">
        <f t="shared" si="8"/>
        <v>2046376.4613600001</v>
      </c>
      <c r="V66" s="3">
        <f t="shared" si="9"/>
        <v>169.4</v>
      </c>
    </row>
    <row r="67" spans="1:22" ht="60" customHeight="1" x14ac:dyDescent="0.25">
      <c r="A67" s="7">
        <v>62</v>
      </c>
      <c r="B67" s="27" t="str">
        <f>'BD SHEET FROM COMPANY'!B66</f>
        <v>GENERAL STORES</v>
      </c>
      <c r="C67" s="7">
        <v>1</v>
      </c>
      <c r="D67" s="8" t="s">
        <v>170</v>
      </c>
      <c r="E67" s="9">
        <f>'BD SHEET FROM COMPANY'!K66</f>
        <v>11652.326800000001</v>
      </c>
      <c r="F67" s="9"/>
      <c r="G67" s="95">
        <f t="shared" si="4"/>
        <v>1082.5376304127687</v>
      </c>
      <c r="H67" s="10">
        <f>'BD SHEET FROM COMPANY'!E66</f>
        <v>28.288</v>
      </c>
      <c r="I67" s="30">
        <f t="shared" si="5"/>
        <v>8.6217616580310885</v>
      </c>
      <c r="J67" s="31">
        <f>'BD SHEET FROM COMPANY'!F66</f>
        <v>1991</v>
      </c>
      <c r="K67" s="11">
        <v>2022</v>
      </c>
      <c r="L67" s="10">
        <f t="shared" si="6"/>
        <v>31</v>
      </c>
      <c r="M67" s="11">
        <v>40</v>
      </c>
      <c r="N67" s="12">
        <v>0.1</v>
      </c>
      <c r="O67" s="13">
        <f t="shared" si="0"/>
        <v>2.2499999999999999E-2</v>
      </c>
      <c r="P67" s="25">
        <f>IF((H67&lt;=5),VLOOKUP(D67,'building rates'!$B$30:$H$54,2,FALSE),IF(AND(H67&gt;5,H67&lt;=12),VLOOKUP(D67,'building rates'!$B$30:$H$54,3,FALSE),IF(AND(H67&gt;12,H67&lt;=15),VLOOKUP(D67,'building rates'!$B$30:$H$54,4,FALSE),IF(AND(H67&gt;15,H67&lt;=20),VLOOKUP(D67,'building rates'!$B$30:$H$54,5,FALSE),IF(AND(H67&gt;20,H67&lt;=25),VLOOKUP(D67,'building rates'!$B$30:$H$54,6,FALSE),IF(H67&gt;25,VLOOKUP(D67,'building rates'!$B$30:$H$54,7,FALSE),0))))))</f>
        <v>1100</v>
      </c>
      <c r="Q67" s="14">
        <f t="shared" si="1"/>
        <v>12817559.48</v>
      </c>
      <c r="R67" s="14">
        <f t="shared" si="2"/>
        <v>8940247.7372999992</v>
      </c>
      <c r="S67" s="14">
        <f t="shared" si="7"/>
        <v>3877311.7427000012</v>
      </c>
      <c r="T67" s="15">
        <v>0.2</v>
      </c>
      <c r="U67" s="14">
        <f t="shared" si="8"/>
        <v>3101849.3941600011</v>
      </c>
      <c r="V67" s="3">
        <f t="shared" si="9"/>
        <v>266.2000000000001</v>
      </c>
    </row>
    <row r="68" spans="1:22" ht="45" customHeight="1" x14ac:dyDescent="0.25">
      <c r="A68" s="7">
        <v>63</v>
      </c>
      <c r="B68" s="27" t="str">
        <f>'BD SHEET FROM COMPANY'!B67</f>
        <v>6.6 KVA STATION</v>
      </c>
      <c r="C68" s="7">
        <v>1</v>
      </c>
      <c r="D68" s="8" t="s">
        <v>158</v>
      </c>
      <c r="E68" s="9">
        <f>'BD SHEET FROM COMPANY'!K67</f>
        <v>5658.8991999999998</v>
      </c>
      <c r="F68" s="9"/>
      <c r="G68" s="95">
        <f t="shared" si="4"/>
        <v>525.72944750508645</v>
      </c>
      <c r="H68" s="10">
        <f>'BD SHEET FROM COMPANY'!E67</f>
        <v>19.968</v>
      </c>
      <c r="I68" s="30">
        <f t="shared" si="5"/>
        <v>6.0859494056690027</v>
      </c>
      <c r="J68" s="31">
        <f>'BD SHEET FROM COMPANY'!F67</f>
        <v>1991</v>
      </c>
      <c r="K68" s="11">
        <v>2022</v>
      </c>
      <c r="L68" s="10">
        <f t="shared" si="6"/>
        <v>31</v>
      </c>
      <c r="M68" s="11">
        <v>60</v>
      </c>
      <c r="N68" s="12">
        <v>0.1</v>
      </c>
      <c r="O68" s="13">
        <f t="shared" si="0"/>
        <v>1.5000000000000001E-2</v>
      </c>
      <c r="P68" s="25">
        <f>IF((H68&lt;=5),VLOOKUP(D68,'building rates'!$B$30:$H$54,2,FALSE),IF(AND(H68&gt;5,H68&lt;=12),VLOOKUP(D68,'building rates'!$B$30:$H$54,3,FALSE),IF(AND(H68&gt;12,H68&lt;=15),VLOOKUP(D68,'building rates'!$B$30:$H$54,4,FALSE),IF(AND(H68&gt;15,H68&lt;=20),VLOOKUP(D68,'building rates'!$B$30:$H$54,5,FALSE),IF(AND(H68&gt;20,H68&lt;=25),VLOOKUP(D68,'building rates'!$B$30:$H$54,6,FALSE),IF(H68&gt;25,VLOOKUP(D68,'building rates'!$B$30:$H$54,7,FALSE),0))))))</f>
        <v>1400</v>
      </c>
      <c r="Q68" s="14">
        <f t="shared" si="1"/>
        <v>7922458.8799999999</v>
      </c>
      <c r="R68" s="14">
        <f t="shared" si="2"/>
        <v>3683943.3792000003</v>
      </c>
      <c r="S68" s="14">
        <f t="shared" si="7"/>
        <v>4238515.5007999996</v>
      </c>
      <c r="T68" s="15">
        <v>0.2</v>
      </c>
      <c r="U68" s="14">
        <f t="shared" si="8"/>
        <v>3390812.4006399997</v>
      </c>
      <c r="V68" s="3">
        <f t="shared" si="9"/>
        <v>599.19999999999993</v>
      </c>
    </row>
    <row r="69" spans="1:22" ht="45" customHeight="1" x14ac:dyDescent="0.25">
      <c r="A69" s="7">
        <v>64</v>
      </c>
      <c r="B69" s="27" t="str">
        <f>'BD SHEET FROM COMPANY'!B68</f>
        <v>MATERIAL HAND. WORKSHOP</v>
      </c>
      <c r="C69" s="7">
        <v>1</v>
      </c>
      <c r="D69" s="8" t="s">
        <v>158</v>
      </c>
      <c r="E69" s="9">
        <f>'BD SHEET FROM COMPANY'!K68</f>
        <v>2805.7775999999999</v>
      </c>
      <c r="F69" s="9"/>
      <c r="G69" s="95">
        <f t="shared" si="4"/>
        <v>260.66552086139779</v>
      </c>
      <c r="H69" s="10">
        <f>'BD SHEET FROM COMPANY'!E68</f>
        <v>23.295999999999999</v>
      </c>
      <c r="I69" s="30">
        <f t="shared" si="5"/>
        <v>7.1002743066138372</v>
      </c>
      <c r="J69" s="31">
        <f>'BD SHEET FROM COMPANY'!F68</f>
        <v>1991</v>
      </c>
      <c r="K69" s="11">
        <v>2022</v>
      </c>
      <c r="L69" s="10">
        <f t="shared" si="6"/>
        <v>31</v>
      </c>
      <c r="M69" s="11">
        <v>60</v>
      </c>
      <c r="N69" s="12">
        <v>0.1</v>
      </c>
      <c r="O69" s="13">
        <f t="shared" si="0"/>
        <v>1.5000000000000001E-2</v>
      </c>
      <c r="P69" s="25">
        <f>IF((H69&lt;=5),VLOOKUP(D69,'building rates'!$B$30:$H$54,2,FALSE),IF(AND(H69&gt;5,H69&lt;=12),VLOOKUP(D69,'building rates'!$B$30:$H$54,3,FALSE),IF(AND(H69&gt;12,H69&lt;=15),VLOOKUP(D69,'building rates'!$B$30:$H$54,4,FALSE),IF(AND(H69&gt;15,H69&lt;=20),VLOOKUP(D69,'building rates'!$B$30:$H$54,5,FALSE),IF(AND(H69&gt;20,H69&lt;=25),VLOOKUP(D69,'building rates'!$B$30:$H$54,6,FALSE),IF(H69&gt;25,VLOOKUP(D69,'building rates'!$B$30:$H$54,7,FALSE),0))))))</f>
        <v>1500</v>
      </c>
      <c r="Q69" s="14">
        <f t="shared" si="1"/>
        <v>4208666.3999999994</v>
      </c>
      <c r="R69" s="14">
        <f t="shared" si="2"/>
        <v>1957029.8759999999</v>
      </c>
      <c r="S69" s="14">
        <f t="shared" si="7"/>
        <v>2251636.5239999993</v>
      </c>
      <c r="T69" s="15">
        <v>0.2</v>
      </c>
      <c r="U69" s="14">
        <f t="shared" si="8"/>
        <v>1801309.2191999995</v>
      </c>
      <c r="V69" s="3">
        <f t="shared" si="9"/>
        <v>641.99999999999989</v>
      </c>
    </row>
    <row r="70" spans="1:22" ht="45" customHeight="1" x14ac:dyDescent="0.25">
      <c r="A70" s="7">
        <v>65</v>
      </c>
      <c r="B70" s="27" t="str">
        <f>'BD SHEET FROM COMPANY'!B69</f>
        <v>BOILER HOUSE 20 TPH (MEZZ. FLOOR)</v>
      </c>
      <c r="C70" s="7">
        <v>1</v>
      </c>
      <c r="D70" s="8" t="s">
        <v>158</v>
      </c>
      <c r="E70" s="9">
        <f>'BD SHEET FROM COMPANY'!K69</f>
        <v>1016.8199999999999</v>
      </c>
      <c r="F70" s="9"/>
      <c r="G70" s="95">
        <f t="shared" si="4"/>
        <v>94.465760551472982</v>
      </c>
      <c r="H70" s="10">
        <f>'BD SHEET FROM COMPANY'!E69</f>
        <v>14.975999999999999</v>
      </c>
      <c r="I70" s="30">
        <f t="shared" si="5"/>
        <v>4.5644620542517522</v>
      </c>
      <c r="J70" s="31">
        <f>'BD SHEET FROM COMPANY'!F69</f>
        <v>1991</v>
      </c>
      <c r="K70" s="11">
        <v>2022</v>
      </c>
      <c r="L70" s="10">
        <f t="shared" si="6"/>
        <v>31</v>
      </c>
      <c r="M70" s="11">
        <v>60</v>
      </c>
      <c r="N70" s="12">
        <v>0.1</v>
      </c>
      <c r="O70" s="13">
        <f t="shared" ref="O70:O125" si="10">(1-N70)/M70</f>
        <v>1.5000000000000001E-2</v>
      </c>
      <c r="P70" s="25">
        <f>IF((H70&lt;=5),VLOOKUP(D70,'building rates'!$B$30:$H$54,2,FALSE),IF(AND(H70&gt;5,H70&lt;=12),VLOOKUP(D70,'building rates'!$B$30:$H$54,3,FALSE),IF(AND(H70&gt;12,H70&lt;=15),VLOOKUP(D70,'building rates'!$B$30:$H$54,4,FALSE),IF(AND(H70&gt;15,H70&lt;=20),VLOOKUP(D70,'building rates'!$B$30:$H$54,5,FALSE),IF(AND(H70&gt;20,H70&lt;=25),VLOOKUP(D70,'building rates'!$B$30:$H$54,6,FALSE),IF(H70&gt;25,VLOOKUP(D70,'building rates'!$B$30:$H$54,7,FALSE),0))))))</f>
        <v>1200</v>
      </c>
      <c r="Q70" s="14">
        <f t="shared" ref="Q70:Q125" si="11">P70*E70</f>
        <v>1220184</v>
      </c>
      <c r="R70" s="14">
        <f t="shared" ref="R70:R125" si="12">Q70*O70*L70</f>
        <v>567385.56000000006</v>
      </c>
      <c r="S70" s="14">
        <f t="shared" si="7"/>
        <v>652798.43999999994</v>
      </c>
      <c r="T70" s="15">
        <v>0.2</v>
      </c>
      <c r="U70" s="14">
        <f t="shared" si="8"/>
        <v>522238.75199999998</v>
      </c>
      <c r="V70" s="3">
        <f t="shared" si="9"/>
        <v>513.6</v>
      </c>
    </row>
    <row r="71" spans="1:22" ht="45" customHeight="1" x14ac:dyDescent="0.25">
      <c r="A71" s="7">
        <v>66</v>
      </c>
      <c r="B71" s="27" t="str">
        <f>'BD SHEET FROM COMPANY'!B70</f>
        <v>BOILER HOUSE 20 TPH (RCC SLAB)</v>
      </c>
      <c r="C71" s="7">
        <v>1</v>
      </c>
      <c r="D71" s="8" t="s">
        <v>158</v>
      </c>
      <c r="E71" s="9">
        <f>'BD SHEET FROM COMPANY'!K70</f>
        <v>2071.3000000000002</v>
      </c>
      <c r="F71" s="9"/>
      <c r="G71" s="95">
        <f t="shared" ref="G71:G125" si="13">E71/10.7639</f>
        <v>192.43025297522277</v>
      </c>
      <c r="H71" s="10">
        <f>'BD SHEET FROM COMPANY'!E70</f>
        <v>11.648</v>
      </c>
      <c r="I71" s="30">
        <f t="shared" ref="I71:I125" si="14">H71/3.281</f>
        <v>3.5501371533069186</v>
      </c>
      <c r="J71" s="31">
        <f>'BD SHEET FROM COMPANY'!F70</f>
        <v>1991</v>
      </c>
      <c r="K71" s="11">
        <v>2022</v>
      </c>
      <c r="L71" s="10">
        <f t="shared" ref="L71:L125" si="15">K71-J71</f>
        <v>31</v>
      </c>
      <c r="M71" s="11">
        <v>60</v>
      </c>
      <c r="N71" s="12">
        <v>0.1</v>
      </c>
      <c r="O71" s="13">
        <f t="shared" si="10"/>
        <v>1.5000000000000001E-2</v>
      </c>
      <c r="P71" s="25">
        <f>IF((H71&lt;=5),VLOOKUP(D71,'building rates'!$B$30:$H$54,2,FALSE),IF(AND(H71&gt;5,H71&lt;=12),VLOOKUP(D71,'building rates'!$B$30:$H$54,3,FALSE),IF(AND(H71&gt;12,H71&lt;=15),VLOOKUP(D71,'building rates'!$B$30:$H$54,4,FALSE),IF(AND(H71&gt;15,H71&lt;=20),VLOOKUP(D71,'building rates'!$B$30:$H$54,5,FALSE),IF(AND(H71&gt;20,H71&lt;=25),VLOOKUP(D71,'building rates'!$B$30:$H$54,6,FALSE),IF(H71&gt;25,VLOOKUP(D71,'building rates'!$B$30:$H$54,7,FALSE),0))))))</f>
        <v>1000</v>
      </c>
      <c r="Q71" s="14">
        <f t="shared" si="11"/>
        <v>2071300.0000000002</v>
      </c>
      <c r="R71" s="14">
        <f t="shared" si="12"/>
        <v>963154.50000000023</v>
      </c>
      <c r="S71" s="14">
        <f t="shared" ref="S71:S120" si="16">MAX(Q71-R71,0)</f>
        <v>1108145.5</v>
      </c>
      <c r="T71" s="15">
        <v>0.2</v>
      </c>
      <c r="U71" s="14">
        <f t="shared" ref="U71:U120" si="17">IF(S71&gt;N71*Q71,S71*(1-T71),Q71*N71)</f>
        <v>886516.4</v>
      </c>
      <c r="V71" s="3">
        <f t="shared" ref="V71:V125" si="18">U71/E71</f>
        <v>428</v>
      </c>
    </row>
    <row r="72" spans="1:22" ht="15" customHeight="1" x14ac:dyDescent="0.25">
      <c r="A72" s="7">
        <v>67</v>
      </c>
      <c r="B72" s="27" t="str">
        <f>'BD SHEET FROM COMPANY'!B71</f>
        <v>COOLING TOWER NO. 2</v>
      </c>
      <c r="C72" s="7">
        <v>0</v>
      </c>
      <c r="D72" s="8" t="s">
        <v>169</v>
      </c>
      <c r="E72" s="9">
        <f>'BD SHEET FROM COMPANY'!K71</f>
        <v>2944.1511999999998</v>
      </c>
      <c r="F72" s="9"/>
      <c r="G72" s="95">
        <f t="shared" si="13"/>
        <v>273.52086139782051</v>
      </c>
      <c r="H72" s="10">
        <f>'BD SHEET FROM COMPANY'!E71</f>
        <v>0</v>
      </c>
      <c r="I72" s="30">
        <f t="shared" si="14"/>
        <v>0</v>
      </c>
      <c r="J72" s="31">
        <f>'BD SHEET FROM COMPANY'!F71</f>
        <v>1991</v>
      </c>
      <c r="K72" s="11">
        <v>2022</v>
      </c>
      <c r="L72" s="10">
        <f t="shared" si="15"/>
        <v>31</v>
      </c>
      <c r="M72" s="11">
        <v>30</v>
      </c>
      <c r="N72" s="12">
        <v>0.1</v>
      </c>
      <c r="O72" s="13">
        <v>0</v>
      </c>
      <c r="P72" s="25">
        <f>IF((H72&lt;=5),VLOOKUP(D72,'building rates'!$B$30:$H$54,2,FALSE),IF(AND(H72&gt;5,H72&lt;=12),VLOOKUP(D72,'building rates'!$B$30:$H$54,3,FALSE),IF(AND(H72&gt;12,H72&lt;=15),VLOOKUP(D72,'building rates'!$B$30:$H$54,4,FALSE),IF(AND(H72&gt;15,H72&lt;=20),VLOOKUP(D72,'building rates'!$B$30:$H$54,5,FALSE),IF(AND(H72&gt;20,H72&lt;=25),VLOOKUP(D72,'building rates'!$B$30:$H$54,6,FALSE),IF(H72&gt;25,VLOOKUP(D72,'building rates'!$B$30:$H$54,7,FALSE),0))))))</f>
        <v>100</v>
      </c>
      <c r="Q72" s="14">
        <f t="shared" si="11"/>
        <v>294415.12</v>
      </c>
      <c r="R72" s="14">
        <f t="shared" si="12"/>
        <v>0</v>
      </c>
      <c r="S72" s="14">
        <f t="shared" si="16"/>
        <v>294415.12</v>
      </c>
      <c r="T72" s="15">
        <v>0.2</v>
      </c>
      <c r="U72" s="14">
        <f t="shared" si="17"/>
        <v>235532.09600000002</v>
      </c>
      <c r="V72" s="3">
        <f t="shared" si="18"/>
        <v>80.000000000000014</v>
      </c>
    </row>
    <row r="73" spans="1:22" ht="15" customHeight="1" x14ac:dyDescent="0.25">
      <c r="A73" s="7">
        <v>68</v>
      </c>
      <c r="B73" s="27" t="str">
        <f>'BD SHEET FROM COMPANY'!B72</f>
        <v>COOLING TOWER NO. 3</v>
      </c>
      <c r="C73" s="7">
        <v>0</v>
      </c>
      <c r="D73" s="8" t="s">
        <v>169</v>
      </c>
      <c r="E73" s="9">
        <f>'BD SHEET FROM COMPANY'!K72</f>
        <v>2943.9360000000001</v>
      </c>
      <c r="F73" s="9"/>
      <c r="G73" s="95">
        <f t="shared" si="13"/>
        <v>273.50086864426464</v>
      </c>
      <c r="H73" s="10">
        <f>'BD SHEET FROM COMPANY'!E72</f>
        <v>0</v>
      </c>
      <c r="I73" s="30">
        <f t="shared" si="14"/>
        <v>0</v>
      </c>
      <c r="J73" s="31">
        <f>'BD SHEET FROM COMPANY'!F72</f>
        <v>1991</v>
      </c>
      <c r="K73" s="11">
        <v>2022</v>
      </c>
      <c r="L73" s="10">
        <f t="shared" si="15"/>
        <v>31</v>
      </c>
      <c r="M73" s="11">
        <v>30</v>
      </c>
      <c r="N73" s="12">
        <v>0.1</v>
      </c>
      <c r="O73" s="13">
        <v>0</v>
      </c>
      <c r="P73" s="25">
        <f>IF((H73&lt;=5),VLOOKUP(D73,'building rates'!$B$30:$H$54,2,FALSE),IF(AND(H73&gt;5,H73&lt;=12),VLOOKUP(D73,'building rates'!$B$30:$H$54,3,FALSE),IF(AND(H73&gt;12,H73&lt;=15),VLOOKUP(D73,'building rates'!$B$30:$H$54,4,FALSE),IF(AND(H73&gt;15,H73&lt;=20),VLOOKUP(D73,'building rates'!$B$30:$H$54,5,FALSE),IF(AND(H73&gt;20,H73&lt;=25),VLOOKUP(D73,'building rates'!$B$30:$H$54,6,FALSE),IF(H73&gt;25,VLOOKUP(D73,'building rates'!$B$30:$H$54,7,FALSE),0))))))</f>
        <v>100</v>
      </c>
      <c r="Q73" s="14">
        <f t="shared" si="11"/>
        <v>294393.60000000003</v>
      </c>
      <c r="R73" s="14">
        <f t="shared" si="12"/>
        <v>0</v>
      </c>
      <c r="S73" s="14">
        <f t="shared" si="16"/>
        <v>294393.60000000003</v>
      </c>
      <c r="T73" s="15">
        <v>0.2</v>
      </c>
      <c r="U73" s="14">
        <f t="shared" si="17"/>
        <v>235514.88000000003</v>
      </c>
      <c r="V73" s="3">
        <f t="shared" si="18"/>
        <v>80.000000000000014</v>
      </c>
    </row>
    <row r="74" spans="1:22" ht="45" customHeight="1" x14ac:dyDescent="0.25">
      <c r="A74" s="7">
        <v>69</v>
      </c>
      <c r="B74" s="27" t="str">
        <f>'BD SHEET FROM COMPANY'!B73</f>
        <v>D.M.PLANT</v>
      </c>
      <c r="C74" s="7">
        <v>1</v>
      </c>
      <c r="D74" s="8" t="s">
        <v>158</v>
      </c>
      <c r="E74" s="9">
        <f>'BD SHEET FROM COMPANY'!K73</f>
        <v>4224.1607999999997</v>
      </c>
      <c r="F74" s="9"/>
      <c r="G74" s="95">
        <f t="shared" si="13"/>
        <v>392.43775954811917</v>
      </c>
      <c r="H74" s="10">
        <f>'BD SHEET FROM COMPANY'!E73</f>
        <v>23.295999999999999</v>
      </c>
      <c r="I74" s="30">
        <f t="shared" si="14"/>
        <v>7.1002743066138372</v>
      </c>
      <c r="J74" s="31">
        <f>'BD SHEET FROM COMPANY'!F73</f>
        <v>1991</v>
      </c>
      <c r="K74" s="11">
        <v>2022</v>
      </c>
      <c r="L74" s="10">
        <f t="shared" si="15"/>
        <v>31</v>
      </c>
      <c r="M74" s="11">
        <v>60</v>
      </c>
      <c r="N74" s="12">
        <v>0.1</v>
      </c>
      <c r="O74" s="13">
        <f t="shared" si="10"/>
        <v>1.5000000000000001E-2</v>
      </c>
      <c r="P74" s="25">
        <f>IF((H74&lt;=5),VLOOKUP(D74,'building rates'!$B$30:$H$54,2,FALSE),IF(AND(H74&gt;5,H74&lt;=12),VLOOKUP(D74,'building rates'!$B$30:$H$54,3,FALSE),IF(AND(H74&gt;12,H74&lt;=15),VLOOKUP(D74,'building rates'!$B$30:$H$54,4,FALSE),IF(AND(H74&gt;15,H74&lt;=20),VLOOKUP(D74,'building rates'!$B$30:$H$54,5,FALSE),IF(AND(H74&gt;20,H74&lt;=25),VLOOKUP(D74,'building rates'!$B$30:$H$54,6,FALSE),IF(H74&gt;25,VLOOKUP(D74,'building rates'!$B$30:$H$54,7,FALSE),0))))))</f>
        <v>1500</v>
      </c>
      <c r="Q74" s="14">
        <f t="shared" si="11"/>
        <v>6336241.1999999993</v>
      </c>
      <c r="R74" s="14">
        <f t="shared" si="12"/>
        <v>2946352.1580000003</v>
      </c>
      <c r="S74" s="14">
        <f t="shared" si="16"/>
        <v>3389889.041999999</v>
      </c>
      <c r="T74" s="15">
        <v>0.2</v>
      </c>
      <c r="U74" s="14">
        <f t="shared" si="17"/>
        <v>2711911.2335999995</v>
      </c>
      <c r="V74" s="3">
        <f t="shared" si="18"/>
        <v>641.99999999999989</v>
      </c>
    </row>
    <row r="75" spans="1:22" ht="15" customHeight="1" x14ac:dyDescent="0.25">
      <c r="A75" s="7">
        <v>70</v>
      </c>
      <c r="B75" s="27" t="str">
        <f>'BD SHEET FROM COMPANY'!B74</f>
        <v>D.M.PLANT YARD</v>
      </c>
      <c r="C75" s="7">
        <v>1</v>
      </c>
      <c r="D75" s="8" t="s">
        <v>169</v>
      </c>
      <c r="E75" s="9">
        <f>'BD SHEET FROM COMPANY'!K74</f>
        <v>6461.38</v>
      </c>
      <c r="F75" s="9"/>
      <c r="G75" s="95">
        <f t="shared" si="13"/>
        <v>600.28242551491564</v>
      </c>
      <c r="H75" s="10">
        <f>'BD SHEET FROM COMPANY'!E74</f>
        <v>0</v>
      </c>
      <c r="I75" s="30">
        <f t="shared" si="14"/>
        <v>0</v>
      </c>
      <c r="J75" s="31">
        <f>'BD SHEET FROM COMPANY'!F74</f>
        <v>1991</v>
      </c>
      <c r="K75" s="11">
        <v>2022</v>
      </c>
      <c r="L75" s="10">
        <f t="shared" si="15"/>
        <v>31</v>
      </c>
      <c r="M75" s="11">
        <v>60</v>
      </c>
      <c r="N75" s="12">
        <v>0.1</v>
      </c>
      <c r="O75" s="13">
        <v>0</v>
      </c>
      <c r="P75" s="25">
        <f>IF((H75&lt;=5),VLOOKUP(D75,'building rates'!$B$30:$H$54,2,FALSE),IF(AND(H75&gt;5,H75&lt;=12),VLOOKUP(D75,'building rates'!$B$30:$H$54,3,FALSE),IF(AND(H75&gt;12,H75&lt;=15),VLOOKUP(D75,'building rates'!$B$30:$H$54,4,FALSE),IF(AND(H75&gt;15,H75&lt;=20),VLOOKUP(D75,'building rates'!$B$30:$H$54,5,FALSE),IF(AND(H75&gt;20,H75&lt;=25),VLOOKUP(D75,'building rates'!$B$30:$H$54,6,FALSE),IF(H75&gt;25,VLOOKUP(D75,'building rates'!$B$30:$H$54,7,FALSE),0))))))</f>
        <v>100</v>
      </c>
      <c r="Q75" s="14">
        <f t="shared" si="11"/>
        <v>646138</v>
      </c>
      <c r="R75" s="14">
        <f t="shared" si="12"/>
        <v>0</v>
      </c>
      <c r="S75" s="14">
        <f t="shared" si="16"/>
        <v>646138</v>
      </c>
      <c r="T75" s="15">
        <v>0.2</v>
      </c>
      <c r="U75" s="14">
        <f t="shared" si="17"/>
        <v>516910.4</v>
      </c>
      <c r="V75" s="3">
        <f t="shared" si="18"/>
        <v>80</v>
      </c>
    </row>
    <row r="76" spans="1:22" ht="45" customHeight="1" x14ac:dyDescent="0.25">
      <c r="A76" s="7">
        <v>71</v>
      </c>
      <c r="B76" s="27" t="str">
        <f>'BD SHEET FROM COMPANY'!B75</f>
        <v>PLANT GATE</v>
      </c>
      <c r="C76" s="7">
        <v>1</v>
      </c>
      <c r="D76" s="8" t="s">
        <v>158</v>
      </c>
      <c r="E76" s="9">
        <f>'BD SHEET FROM COMPANY'!K75</f>
        <v>4789.8139999999994</v>
      </c>
      <c r="F76" s="9"/>
      <c r="G76" s="95">
        <f t="shared" si="13"/>
        <v>444.9887122697163</v>
      </c>
      <c r="H76" s="10">
        <f>'BD SHEET FROM COMPANY'!E75</f>
        <v>11.648</v>
      </c>
      <c r="I76" s="30">
        <f t="shared" si="14"/>
        <v>3.5501371533069186</v>
      </c>
      <c r="J76" s="31">
        <f>'BD SHEET FROM COMPANY'!F75</f>
        <v>1991</v>
      </c>
      <c r="K76" s="11">
        <v>2022</v>
      </c>
      <c r="L76" s="10">
        <f t="shared" si="15"/>
        <v>31</v>
      </c>
      <c r="M76" s="11">
        <v>60</v>
      </c>
      <c r="N76" s="12">
        <v>0.1</v>
      </c>
      <c r="O76" s="13">
        <f t="shared" si="10"/>
        <v>1.5000000000000001E-2</v>
      </c>
      <c r="P76" s="25">
        <f>IF((H76&lt;=5),VLOOKUP(D76,'building rates'!$B$30:$H$54,2,FALSE),IF(AND(H76&gt;5,H76&lt;=12),VLOOKUP(D76,'building rates'!$B$30:$H$54,3,FALSE),IF(AND(H76&gt;12,H76&lt;=15),VLOOKUP(D76,'building rates'!$B$30:$H$54,4,FALSE),IF(AND(H76&gt;15,H76&lt;=20),VLOOKUP(D76,'building rates'!$B$30:$H$54,5,FALSE),IF(AND(H76&gt;20,H76&lt;=25),VLOOKUP(D76,'building rates'!$B$30:$H$54,6,FALSE),IF(H76&gt;25,VLOOKUP(D76,'building rates'!$B$30:$H$54,7,FALSE),0))))))</f>
        <v>1000</v>
      </c>
      <c r="Q76" s="14">
        <f t="shared" si="11"/>
        <v>4789813.9999999991</v>
      </c>
      <c r="R76" s="14">
        <f t="shared" si="12"/>
        <v>2227263.5099999998</v>
      </c>
      <c r="S76" s="14">
        <f t="shared" si="16"/>
        <v>2562550.4899999993</v>
      </c>
      <c r="T76" s="15">
        <v>0.2</v>
      </c>
      <c r="U76" s="14">
        <f t="shared" si="17"/>
        <v>2050040.3919999995</v>
      </c>
      <c r="V76" s="3">
        <f t="shared" si="18"/>
        <v>427.99999999999994</v>
      </c>
    </row>
    <row r="77" spans="1:22" ht="45" customHeight="1" x14ac:dyDescent="0.25">
      <c r="A77" s="7">
        <v>72</v>
      </c>
      <c r="B77" s="27" t="str">
        <f>'BD SHEET FROM COMPANY'!B76</f>
        <v>WEIGH BRIDGE # 1 &amp; 2</v>
      </c>
      <c r="C77" s="7">
        <v>1</v>
      </c>
      <c r="D77" s="8" t="s">
        <v>158</v>
      </c>
      <c r="E77" s="9">
        <f>'BD SHEET FROM COMPANY'!K76</f>
        <v>217.56719999999999</v>
      </c>
      <c r="F77" s="9"/>
      <c r="G77" s="95">
        <f t="shared" si="13"/>
        <v>20.212673844981836</v>
      </c>
      <c r="H77" s="10">
        <f>'BD SHEET FROM COMPANY'!E76</f>
        <v>8.32</v>
      </c>
      <c r="I77" s="30">
        <f t="shared" si="14"/>
        <v>2.5358122523620845</v>
      </c>
      <c r="J77" s="31">
        <f>'BD SHEET FROM COMPANY'!F76</f>
        <v>1991</v>
      </c>
      <c r="K77" s="11">
        <v>2022</v>
      </c>
      <c r="L77" s="10">
        <f t="shared" si="15"/>
        <v>31</v>
      </c>
      <c r="M77" s="11">
        <v>60</v>
      </c>
      <c r="N77" s="12">
        <v>0.1</v>
      </c>
      <c r="O77" s="13">
        <f t="shared" si="10"/>
        <v>1.5000000000000001E-2</v>
      </c>
      <c r="P77" s="25">
        <f>IF((H77&lt;=5),VLOOKUP(D77,'building rates'!$B$30:$H$54,2,FALSE),IF(AND(H77&gt;5,H77&lt;=12),VLOOKUP(D77,'building rates'!$B$30:$H$54,3,FALSE),IF(AND(H77&gt;12,H77&lt;=15),VLOOKUP(D77,'building rates'!$B$30:$H$54,4,FALSE),IF(AND(H77&gt;15,H77&lt;=20),VLOOKUP(D77,'building rates'!$B$30:$H$54,5,FALSE),IF(AND(H77&gt;20,H77&lt;=25),VLOOKUP(D77,'building rates'!$B$30:$H$54,6,FALSE),IF(H77&gt;25,VLOOKUP(D77,'building rates'!$B$30:$H$54,7,FALSE),0))))))</f>
        <v>1000</v>
      </c>
      <c r="Q77" s="14">
        <f t="shared" si="11"/>
        <v>217567.19999999998</v>
      </c>
      <c r="R77" s="14">
        <f t="shared" si="12"/>
        <v>101168.74799999999</v>
      </c>
      <c r="S77" s="14">
        <f t="shared" si="16"/>
        <v>116398.45199999999</v>
      </c>
      <c r="T77" s="15">
        <v>0.2</v>
      </c>
      <c r="U77" s="14">
        <f t="shared" si="17"/>
        <v>93118.761599999998</v>
      </c>
      <c r="V77" s="3">
        <f t="shared" si="18"/>
        <v>428</v>
      </c>
    </row>
    <row r="78" spans="1:22" ht="60" customHeight="1" x14ac:dyDescent="0.25">
      <c r="A78" s="7">
        <v>73</v>
      </c>
      <c r="B78" s="27" t="str">
        <f>'BD SHEET FROM COMPANY'!B77</f>
        <v>CHEMICAL HOUSE - 1</v>
      </c>
      <c r="C78" s="7">
        <v>1</v>
      </c>
      <c r="D78" s="8" t="s">
        <v>170</v>
      </c>
      <c r="E78" s="9">
        <f>'BD SHEET FROM COMPANY'!K77</f>
        <v>225.96</v>
      </c>
      <c r="F78" s="9"/>
      <c r="G78" s="95">
        <f t="shared" si="13"/>
        <v>20.992391233660662</v>
      </c>
      <c r="H78" s="10">
        <f>'BD SHEET FROM COMPANY'!E77</f>
        <v>14.975999999999999</v>
      </c>
      <c r="I78" s="30">
        <f t="shared" si="14"/>
        <v>4.5644620542517522</v>
      </c>
      <c r="J78" s="31">
        <f>'BD SHEET FROM COMPANY'!F77</f>
        <v>1991</v>
      </c>
      <c r="K78" s="11">
        <v>2022</v>
      </c>
      <c r="L78" s="10">
        <f t="shared" si="15"/>
        <v>31</v>
      </c>
      <c r="M78" s="11">
        <v>40</v>
      </c>
      <c r="N78" s="12">
        <v>0.1</v>
      </c>
      <c r="O78" s="13">
        <f t="shared" si="10"/>
        <v>2.2499999999999999E-2</v>
      </c>
      <c r="P78" s="25">
        <f>IF((H78&lt;=5),VLOOKUP(D78,'building rates'!$B$30:$H$54,2,FALSE),IF(AND(H78&gt;5,H78&lt;=12),VLOOKUP(D78,'building rates'!$B$30:$H$54,3,FALSE),IF(AND(H78&gt;12,H78&lt;=15),VLOOKUP(D78,'building rates'!$B$30:$H$54,4,FALSE),IF(AND(H78&gt;15,H78&lt;=20),VLOOKUP(D78,'building rates'!$B$30:$H$54,5,FALSE),IF(AND(H78&gt;20,H78&lt;=25),VLOOKUP(D78,'building rates'!$B$30:$H$54,6,FALSE),IF(H78&gt;25,VLOOKUP(D78,'building rates'!$B$30:$H$54,7,FALSE),0))))))</f>
        <v>500</v>
      </c>
      <c r="Q78" s="14">
        <f t="shared" si="11"/>
        <v>112980</v>
      </c>
      <c r="R78" s="14">
        <f t="shared" si="12"/>
        <v>78803.549999999988</v>
      </c>
      <c r="S78" s="14">
        <f t="shared" si="16"/>
        <v>34176.450000000012</v>
      </c>
      <c r="T78" s="15">
        <v>0.2</v>
      </c>
      <c r="U78" s="14">
        <f t="shared" si="17"/>
        <v>27341.160000000011</v>
      </c>
      <c r="V78" s="3">
        <f t="shared" si="18"/>
        <v>121.00000000000004</v>
      </c>
    </row>
    <row r="79" spans="1:22" ht="60" customHeight="1" x14ac:dyDescent="0.25">
      <c r="A79" s="7">
        <v>74</v>
      </c>
      <c r="B79" s="27" t="str">
        <f>'BD SHEET FROM COMPANY'!B78</f>
        <v>CHEMICAL HOUSE - 2</v>
      </c>
      <c r="C79" s="7">
        <v>1</v>
      </c>
      <c r="D79" s="8" t="s">
        <v>170</v>
      </c>
      <c r="E79" s="9">
        <f>'BD SHEET FROM COMPANY'!K78</f>
        <v>129.12</v>
      </c>
      <c r="F79" s="9"/>
      <c r="G79" s="95">
        <f t="shared" si="13"/>
        <v>11.995652133520379</v>
      </c>
      <c r="H79" s="10">
        <f>'BD SHEET FROM COMPANY'!E78</f>
        <v>21.631999999999998</v>
      </c>
      <c r="I79" s="30">
        <f t="shared" si="14"/>
        <v>6.5931118561414195</v>
      </c>
      <c r="J79" s="31">
        <f>'BD SHEET FROM COMPANY'!F78</f>
        <v>1991</v>
      </c>
      <c r="K79" s="11">
        <v>2022</v>
      </c>
      <c r="L79" s="10">
        <f t="shared" si="15"/>
        <v>31</v>
      </c>
      <c r="M79" s="11">
        <v>40</v>
      </c>
      <c r="N79" s="12">
        <v>0.1</v>
      </c>
      <c r="O79" s="13">
        <f t="shared" si="10"/>
        <v>2.2499999999999999E-2</v>
      </c>
      <c r="P79" s="25">
        <f>IF((H79&lt;=5),VLOOKUP(D79,'building rates'!$B$30:$H$54,2,FALSE),IF(AND(H79&gt;5,H79&lt;=12),VLOOKUP(D79,'building rates'!$B$30:$H$54,3,FALSE),IF(AND(H79&gt;12,H79&lt;=15),VLOOKUP(D79,'building rates'!$B$30:$H$54,4,FALSE),IF(AND(H79&gt;15,H79&lt;=20),VLOOKUP(D79,'building rates'!$B$30:$H$54,5,FALSE),IF(AND(H79&gt;20,H79&lt;=25),VLOOKUP(D79,'building rates'!$B$30:$H$54,6,FALSE),IF(H79&gt;25,VLOOKUP(D79,'building rates'!$B$30:$H$54,7,FALSE),0))))))</f>
        <v>900</v>
      </c>
      <c r="Q79" s="14">
        <f t="shared" si="11"/>
        <v>116208</v>
      </c>
      <c r="R79" s="14">
        <f t="shared" si="12"/>
        <v>81055.08</v>
      </c>
      <c r="S79" s="14">
        <f t="shared" si="16"/>
        <v>35152.92</v>
      </c>
      <c r="T79" s="15">
        <v>0.2</v>
      </c>
      <c r="U79" s="14">
        <f t="shared" si="17"/>
        <v>28122.335999999999</v>
      </c>
      <c r="V79" s="3">
        <f t="shared" si="18"/>
        <v>217.79999999999998</v>
      </c>
    </row>
    <row r="80" spans="1:22" ht="45" customHeight="1" x14ac:dyDescent="0.25">
      <c r="A80" s="7">
        <v>75</v>
      </c>
      <c r="B80" s="27" t="str">
        <f>'BD SHEET FROM COMPANY'!B79</f>
        <v>PUMP HOUSE</v>
      </c>
      <c r="C80" s="7">
        <v>1</v>
      </c>
      <c r="D80" s="8" t="s">
        <v>158</v>
      </c>
      <c r="E80" s="9">
        <f>'BD SHEET FROM COMPANY'!K79</f>
        <v>2135.3219999999997</v>
      </c>
      <c r="F80" s="9"/>
      <c r="G80" s="95">
        <f t="shared" si="13"/>
        <v>198.37809715809323</v>
      </c>
      <c r="H80" s="10">
        <f>'BD SHEET FROM COMPANY'!E79</f>
        <v>36.607999999999997</v>
      </c>
      <c r="I80" s="30">
        <f t="shared" si="14"/>
        <v>11.157573910393172</v>
      </c>
      <c r="J80" s="31">
        <f>'BD SHEET FROM COMPANY'!F79</f>
        <v>1991</v>
      </c>
      <c r="K80" s="11">
        <v>2022</v>
      </c>
      <c r="L80" s="10">
        <f t="shared" si="15"/>
        <v>31</v>
      </c>
      <c r="M80" s="11">
        <v>60</v>
      </c>
      <c r="N80" s="12">
        <v>0.1</v>
      </c>
      <c r="O80" s="13">
        <f t="shared" si="10"/>
        <v>1.5000000000000001E-2</v>
      </c>
      <c r="P80" s="25">
        <f>IF((H80&lt;=5),VLOOKUP(D80,'building rates'!$B$30:$H$54,2,FALSE),IF(AND(H80&gt;5,H80&lt;=12),VLOOKUP(D80,'building rates'!$B$30:$H$54,3,FALSE),IF(AND(H80&gt;12,H80&lt;=15),VLOOKUP(D80,'building rates'!$B$30:$H$54,4,FALSE),IF(AND(H80&gt;15,H80&lt;=20),VLOOKUP(D80,'building rates'!$B$30:$H$54,5,FALSE),IF(AND(H80&gt;20,H80&lt;=25),VLOOKUP(D80,'building rates'!$B$30:$H$54,6,FALSE),IF(H80&gt;25,VLOOKUP(D80,'building rates'!$B$30:$H$54,7,FALSE),0))))))</f>
        <v>1700</v>
      </c>
      <c r="Q80" s="14">
        <f t="shared" si="11"/>
        <v>3630047.3999999994</v>
      </c>
      <c r="R80" s="14">
        <f t="shared" si="12"/>
        <v>1687972.041</v>
      </c>
      <c r="S80" s="14">
        <f t="shared" si="16"/>
        <v>1942075.3589999995</v>
      </c>
      <c r="T80" s="15">
        <v>0.2</v>
      </c>
      <c r="U80" s="14">
        <f t="shared" si="17"/>
        <v>1553660.2871999997</v>
      </c>
      <c r="V80" s="3">
        <f t="shared" si="18"/>
        <v>727.59999999999991</v>
      </c>
    </row>
    <row r="81" spans="1:22" ht="45" customHeight="1" x14ac:dyDescent="0.25">
      <c r="A81" s="7">
        <v>76</v>
      </c>
      <c r="B81" s="27" t="str">
        <f>'BD SHEET FROM COMPANY'!B80</f>
        <v>CAR STAND</v>
      </c>
      <c r="C81" s="7">
        <v>1</v>
      </c>
      <c r="D81" s="8" t="s">
        <v>158</v>
      </c>
      <c r="E81" s="9">
        <f>'BD SHEET FROM COMPANY'!K80</f>
        <v>6589.9620000000004</v>
      </c>
      <c r="F81" s="9"/>
      <c r="G81" s="95">
        <f t="shared" si="13"/>
        <v>612.22809576454642</v>
      </c>
      <c r="H81" s="10">
        <f>'BD SHEET FROM COMPANY'!E80</f>
        <v>10.316800000000001</v>
      </c>
      <c r="I81" s="30">
        <f t="shared" si="14"/>
        <v>3.144407192928985</v>
      </c>
      <c r="J81" s="31">
        <f>'BD SHEET FROM COMPANY'!F80</f>
        <v>1991</v>
      </c>
      <c r="K81" s="11">
        <v>2022</v>
      </c>
      <c r="L81" s="10">
        <f t="shared" si="15"/>
        <v>31</v>
      </c>
      <c r="M81" s="11">
        <v>60</v>
      </c>
      <c r="N81" s="12">
        <v>0.1</v>
      </c>
      <c r="O81" s="13">
        <f t="shared" si="10"/>
        <v>1.5000000000000001E-2</v>
      </c>
      <c r="P81" s="25">
        <f>IF((H81&lt;=5),VLOOKUP(D81,'building rates'!$B$30:$H$54,2,FALSE),IF(AND(H81&gt;5,H81&lt;=12),VLOOKUP(D81,'building rates'!$B$30:$H$54,3,FALSE),IF(AND(H81&gt;12,H81&lt;=15),VLOOKUP(D81,'building rates'!$B$30:$H$54,4,FALSE),IF(AND(H81&gt;15,H81&lt;=20),VLOOKUP(D81,'building rates'!$B$30:$H$54,5,FALSE),IF(AND(H81&gt;20,H81&lt;=25),VLOOKUP(D81,'building rates'!$B$30:$H$54,6,FALSE),IF(H81&gt;25,VLOOKUP(D81,'building rates'!$B$30:$H$54,7,FALSE),0))))))</f>
        <v>1000</v>
      </c>
      <c r="Q81" s="14">
        <f t="shared" si="11"/>
        <v>6589962</v>
      </c>
      <c r="R81" s="14">
        <f t="shared" si="12"/>
        <v>3064332.33</v>
      </c>
      <c r="S81" s="14">
        <f t="shared" si="16"/>
        <v>3525629.67</v>
      </c>
      <c r="T81" s="15">
        <v>0.2</v>
      </c>
      <c r="U81" s="14">
        <f t="shared" si="17"/>
        <v>2820503.736</v>
      </c>
      <c r="V81" s="3">
        <f t="shared" si="18"/>
        <v>428</v>
      </c>
    </row>
    <row r="82" spans="1:22" ht="45" customHeight="1" x14ac:dyDescent="0.25">
      <c r="A82" s="7">
        <v>77</v>
      </c>
      <c r="B82" s="27" t="str">
        <f>'BD SHEET FROM COMPANY'!B81</f>
        <v>MAIN GATE</v>
      </c>
      <c r="C82" s="7">
        <v>1</v>
      </c>
      <c r="D82" s="8" t="s">
        <v>158</v>
      </c>
      <c r="E82" s="9">
        <f>'BD SHEET FROM COMPANY'!K81</f>
        <v>89.953599999999994</v>
      </c>
      <c r="F82" s="9"/>
      <c r="G82" s="95">
        <f t="shared" si="13"/>
        <v>8.3569709863525308</v>
      </c>
      <c r="H82" s="10">
        <f>'BD SHEET FROM COMPANY'!E81</f>
        <v>8.4863999999999997</v>
      </c>
      <c r="I82" s="30">
        <f t="shared" si="14"/>
        <v>2.5865284974093261</v>
      </c>
      <c r="J82" s="31">
        <f>'BD SHEET FROM COMPANY'!F81</f>
        <v>1991</v>
      </c>
      <c r="K82" s="11">
        <v>2022</v>
      </c>
      <c r="L82" s="10">
        <f t="shared" si="15"/>
        <v>31</v>
      </c>
      <c r="M82" s="11">
        <v>60</v>
      </c>
      <c r="N82" s="12">
        <v>0.1</v>
      </c>
      <c r="O82" s="13">
        <f t="shared" si="10"/>
        <v>1.5000000000000001E-2</v>
      </c>
      <c r="P82" s="25">
        <f>IF((H82&lt;=5),VLOOKUP(D82,'building rates'!$B$30:$H$54,2,FALSE),IF(AND(H82&gt;5,H82&lt;=12),VLOOKUP(D82,'building rates'!$B$30:$H$54,3,FALSE),IF(AND(H82&gt;12,H82&lt;=15),VLOOKUP(D82,'building rates'!$B$30:$H$54,4,FALSE),IF(AND(H82&gt;15,H82&lt;=20),VLOOKUP(D82,'building rates'!$B$30:$H$54,5,FALSE),IF(AND(H82&gt;20,H82&lt;=25),VLOOKUP(D82,'building rates'!$B$30:$H$54,6,FALSE),IF(H82&gt;25,VLOOKUP(D82,'building rates'!$B$30:$H$54,7,FALSE),0))))))</f>
        <v>1000</v>
      </c>
      <c r="Q82" s="14">
        <f t="shared" si="11"/>
        <v>89953.599999999991</v>
      </c>
      <c r="R82" s="14">
        <f t="shared" si="12"/>
        <v>41828.423999999999</v>
      </c>
      <c r="S82" s="14">
        <f t="shared" si="16"/>
        <v>48125.175999999992</v>
      </c>
      <c r="T82" s="15">
        <v>0.2</v>
      </c>
      <c r="U82" s="14">
        <f t="shared" si="17"/>
        <v>38500.140799999994</v>
      </c>
      <c r="V82" s="3">
        <f t="shared" si="18"/>
        <v>427.99999999999994</v>
      </c>
    </row>
    <row r="83" spans="1:22" ht="45" customHeight="1" x14ac:dyDescent="0.25">
      <c r="A83" s="7">
        <v>78</v>
      </c>
      <c r="B83" s="27" t="str">
        <f>'BD SHEET FROM COMPANY'!B82</f>
        <v>TRAINING CENTRE (HRD)</v>
      </c>
      <c r="C83" s="7">
        <v>1</v>
      </c>
      <c r="D83" s="8" t="s">
        <v>158</v>
      </c>
      <c r="E83" s="9">
        <f>'BD SHEET FROM COMPANY'!K82</f>
        <v>3442.3391999999999</v>
      </c>
      <c r="F83" s="9"/>
      <c r="G83" s="95">
        <f t="shared" si="13"/>
        <v>319.80408587965331</v>
      </c>
      <c r="H83" s="10">
        <f>'BD SHEET FROM COMPANY'!E82</f>
        <v>11.648</v>
      </c>
      <c r="I83" s="30">
        <f t="shared" si="14"/>
        <v>3.5501371533069186</v>
      </c>
      <c r="J83" s="31">
        <f>'BD SHEET FROM COMPANY'!F82</f>
        <v>1991</v>
      </c>
      <c r="K83" s="11">
        <v>2022</v>
      </c>
      <c r="L83" s="10">
        <f t="shared" si="15"/>
        <v>31</v>
      </c>
      <c r="M83" s="11">
        <v>60</v>
      </c>
      <c r="N83" s="12">
        <v>0.1</v>
      </c>
      <c r="O83" s="13">
        <f t="shared" si="10"/>
        <v>1.5000000000000001E-2</v>
      </c>
      <c r="P83" s="25">
        <f>IF((H83&lt;=5),VLOOKUP(D83,'building rates'!$B$30:$H$54,2,FALSE),IF(AND(H83&gt;5,H83&lt;=12),VLOOKUP(D83,'building rates'!$B$30:$H$54,3,FALSE),IF(AND(H83&gt;12,H83&lt;=15),VLOOKUP(D83,'building rates'!$B$30:$H$54,4,FALSE),IF(AND(H83&gt;15,H83&lt;=20),VLOOKUP(D83,'building rates'!$B$30:$H$54,5,FALSE),IF(AND(H83&gt;20,H83&lt;=25),VLOOKUP(D83,'building rates'!$B$30:$H$54,6,FALSE),IF(H83&gt;25,VLOOKUP(D83,'building rates'!$B$30:$H$54,7,FALSE),0))))))</f>
        <v>1000</v>
      </c>
      <c r="Q83" s="14">
        <f t="shared" si="11"/>
        <v>3442339.1999999997</v>
      </c>
      <c r="R83" s="14">
        <f t="shared" si="12"/>
        <v>1600687.7280000001</v>
      </c>
      <c r="S83" s="14">
        <f t="shared" si="16"/>
        <v>1841651.4719999996</v>
      </c>
      <c r="T83" s="15">
        <v>0.2</v>
      </c>
      <c r="U83" s="14">
        <f t="shared" si="17"/>
        <v>1473321.1775999998</v>
      </c>
      <c r="V83" s="3">
        <f t="shared" si="18"/>
        <v>427.99999999999994</v>
      </c>
    </row>
    <row r="84" spans="1:22" ht="45" customHeight="1" x14ac:dyDescent="0.25">
      <c r="A84" s="7">
        <v>79</v>
      </c>
      <c r="B84" s="27" t="str">
        <f>'BD SHEET FROM COMPANY'!B83</f>
        <v xml:space="preserve">CANTEEN </v>
      </c>
      <c r="C84" s="7">
        <v>1</v>
      </c>
      <c r="D84" s="8" t="s">
        <v>158</v>
      </c>
      <c r="E84" s="9">
        <f>'BD SHEET FROM COMPANY'!K83</f>
        <v>7047.3696</v>
      </c>
      <c r="F84" s="9"/>
      <c r="G84" s="95">
        <f t="shared" si="13"/>
        <v>654.72269344754227</v>
      </c>
      <c r="H84" s="10">
        <f>'BD SHEET FROM COMPANY'!E83</f>
        <v>14.6432</v>
      </c>
      <c r="I84" s="30">
        <f t="shared" si="14"/>
        <v>4.463029564157269</v>
      </c>
      <c r="J84" s="31">
        <f>'BD SHEET FROM COMPANY'!F83</f>
        <v>1991</v>
      </c>
      <c r="K84" s="11">
        <v>2022</v>
      </c>
      <c r="L84" s="10">
        <f t="shared" si="15"/>
        <v>31</v>
      </c>
      <c r="M84" s="11">
        <v>60</v>
      </c>
      <c r="N84" s="12">
        <v>0.1</v>
      </c>
      <c r="O84" s="13">
        <f t="shared" si="10"/>
        <v>1.5000000000000001E-2</v>
      </c>
      <c r="P84" s="25">
        <f>IF((H84&lt;=5),VLOOKUP(D84,'building rates'!$B$30:$H$54,2,FALSE),IF(AND(H84&gt;5,H84&lt;=12),VLOOKUP(D84,'building rates'!$B$30:$H$54,3,FALSE),IF(AND(H84&gt;12,H84&lt;=15),VLOOKUP(D84,'building rates'!$B$30:$H$54,4,FALSE),IF(AND(H84&gt;15,H84&lt;=20),VLOOKUP(D84,'building rates'!$B$30:$H$54,5,FALSE),IF(AND(H84&gt;20,H84&lt;=25),VLOOKUP(D84,'building rates'!$B$30:$H$54,6,FALSE),IF(H84&gt;25,VLOOKUP(D84,'building rates'!$B$30:$H$54,7,FALSE),0))))))</f>
        <v>1200</v>
      </c>
      <c r="Q84" s="14">
        <f t="shared" si="11"/>
        <v>8456843.5199999996</v>
      </c>
      <c r="R84" s="14">
        <f t="shared" si="12"/>
        <v>3932432.2368000001</v>
      </c>
      <c r="S84" s="14">
        <f t="shared" si="16"/>
        <v>4524411.2831999995</v>
      </c>
      <c r="T84" s="15">
        <v>0.2</v>
      </c>
      <c r="U84" s="14">
        <f t="shared" si="17"/>
        <v>3619529.0265599997</v>
      </c>
      <c r="V84" s="3">
        <f t="shared" si="18"/>
        <v>513.59999999999991</v>
      </c>
    </row>
    <row r="85" spans="1:22" ht="45" customHeight="1" x14ac:dyDescent="0.25">
      <c r="A85" s="7">
        <v>80</v>
      </c>
      <c r="B85" s="27" t="str">
        <f>'BD SHEET FROM COMPANY'!B84</f>
        <v>WATER RESERVOIR TANK, CAPACITY: 2500 CUM.</v>
      </c>
      <c r="C85" s="7">
        <v>1</v>
      </c>
      <c r="D85" s="8" t="s">
        <v>158</v>
      </c>
      <c r="E85" s="9">
        <f>'BD SHEET FROM COMPANY'!K84</f>
        <v>8113.04</v>
      </c>
      <c r="F85" s="16">
        <f>2500*1000</f>
        <v>2500000</v>
      </c>
      <c r="G85" s="95">
        <f t="shared" si="13"/>
        <v>753.72680905619711</v>
      </c>
      <c r="H85" s="10">
        <f>'BD SHEET FROM COMPANY'!E84</f>
        <v>4.5</v>
      </c>
      <c r="I85" s="30">
        <f t="shared" si="14"/>
        <v>1.3715330691862238</v>
      </c>
      <c r="J85" s="31">
        <f>'BD SHEET FROM COMPANY'!F84</f>
        <v>1991</v>
      </c>
      <c r="K85" s="11">
        <v>2022</v>
      </c>
      <c r="L85" s="10">
        <f t="shared" si="15"/>
        <v>31</v>
      </c>
      <c r="M85" s="11">
        <v>40</v>
      </c>
      <c r="N85" s="12">
        <v>0.1</v>
      </c>
      <c r="O85" s="13">
        <f t="shared" si="10"/>
        <v>2.2499999999999999E-2</v>
      </c>
      <c r="P85" s="35">
        <v>20</v>
      </c>
      <c r="Q85" s="14">
        <f>P85*F85</f>
        <v>50000000</v>
      </c>
      <c r="R85" s="14">
        <f t="shared" si="12"/>
        <v>34875000</v>
      </c>
      <c r="S85" s="14">
        <f t="shared" si="16"/>
        <v>15125000</v>
      </c>
      <c r="T85" s="15">
        <v>0.25</v>
      </c>
      <c r="U85" s="14">
        <f t="shared" si="17"/>
        <v>11343750</v>
      </c>
      <c r="V85" s="3">
        <f t="shared" si="18"/>
        <v>1398.2120142388058</v>
      </c>
    </row>
    <row r="86" spans="1:22" ht="60" x14ac:dyDescent="0.25">
      <c r="A86" s="7">
        <v>81</v>
      </c>
      <c r="B86" s="27" t="str">
        <f>'BD SHEET FROM COMPANY'!B85</f>
        <v>WATER RESERVOIR TANK, CAPACITY: 2475 CUM.</v>
      </c>
      <c r="C86" s="7">
        <v>0</v>
      </c>
      <c r="D86" s="8" t="s">
        <v>171</v>
      </c>
      <c r="E86" s="9">
        <f>'BD SHEET FROM COMPANY'!K85</f>
        <v>8113.04</v>
      </c>
      <c r="F86" s="16">
        <f>2475*1000</f>
        <v>2475000</v>
      </c>
      <c r="G86" s="95">
        <f t="shared" si="13"/>
        <v>753.72680905619711</v>
      </c>
      <c r="H86" s="10">
        <f>'BD SHEET FROM COMPANY'!E85</f>
        <v>4.5</v>
      </c>
      <c r="I86" s="30">
        <f t="shared" si="14"/>
        <v>1.3715330691862238</v>
      </c>
      <c r="J86" s="31">
        <f>'BD SHEET FROM COMPANY'!F85</f>
        <v>1991</v>
      </c>
      <c r="K86" s="11">
        <v>2022</v>
      </c>
      <c r="L86" s="10">
        <f t="shared" si="15"/>
        <v>31</v>
      </c>
      <c r="M86" s="11">
        <v>40</v>
      </c>
      <c r="N86" s="12">
        <v>0.1</v>
      </c>
      <c r="O86" s="13">
        <f t="shared" si="10"/>
        <v>2.2499999999999999E-2</v>
      </c>
      <c r="P86" s="35">
        <v>20</v>
      </c>
      <c r="Q86" s="14">
        <f>P86*F86</f>
        <v>49500000</v>
      </c>
      <c r="R86" s="14">
        <f t="shared" si="12"/>
        <v>34526250</v>
      </c>
      <c r="S86" s="14">
        <f t="shared" si="16"/>
        <v>14973750</v>
      </c>
      <c r="T86" s="15">
        <v>0.25</v>
      </c>
      <c r="U86" s="14">
        <f t="shared" si="17"/>
        <v>11230312.5</v>
      </c>
      <c r="V86" s="3">
        <f t="shared" si="18"/>
        <v>1384.2298940964176</v>
      </c>
    </row>
    <row r="87" spans="1:22" ht="30" customHeight="1" x14ac:dyDescent="0.25">
      <c r="A87" s="7">
        <v>82</v>
      </c>
      <c r="B87" s="27" t="str">
        <f>'BD SHEET FROM COMPANY'!B86</f>
        <v>WATER CLARIFLACULATOR, CAPACITY (630.0 CUM.)</v>
      </c>
      <c r="C87" s="7">
        <v>0</v>
      </c>
      <c r="D87" s="8" t="s">
        <v>169</v>
      </c>
      <c r="E87" s="9">
        <f>'BD SHEET FROM COMPANY'!K86</f>
        <v>3120.4</v>
      </c>
      <c r="F87" s="9"/>
      <c r="G87" s="95">
        <f t="shared" si="13"/>
        <v>289.89492656007582</v>
      </c>
      <c r="H87" s="10">
        <f>'BD SHEET FROM COMPANY'!E86</f>
        <v>13.311999999999999</v>
      </c>
      <c r="I87" s="30">
        <f t="shared" si="14"/>
        <v>4.0572996037793354</v>
      </c>
      <c r="J87" s="31">
        <f>'BD SHEET FROM COMPANY'!F86</f>
        <v>1991</v>
      </c>
      <c r="K87" s="11">
        <v>2022</v>
      </c>
      <c r="L87" s="10">
        <f t="shared" si="15"/>
        <v>31</v>
      </c>
      <c r="M87" s="11">
        <v>60</v>
      </c>
      <c r="N87" s="12">
        <v>0.1</v>
      </c>
      <c r="O87" s="13">
        <v>0</v>
      </c>
      <c r="P87" s="25">
        <v>100</v>
      </c>
      <c r="Q87" s="14">
        <f t="shared" si="11"/>
        <v>312040</v>
      </c>
      <c r="R87" s="14">
        <f t="shared" si="12"/>
        <v>0</v>
      </c>
      <c r="S87" s="14">
        <f t="shared" si="16"/>
        <v>312040</v>
      </c>
      <c r="T87" s="15">
        <v>0.2</v>
      </c>
      <c r="U87" s="14">
        <f t="shared" si="17"/>
        <v>249632</v>
      </c>
      <c r="V87" s="3">
        <f t="shared" si="18"/>
        <v>80</v>
      </c>
    </row>
    <row r="88" spans="1:22" ht="16.5" x14ac:dyDescent="0.25">
      <c r="A88" s="7">
        <v>83</v>
      </c>
      <c r="B88" s="27" t="str">
        <f>'BD SHEET FROM COMPANY'!B87</f>
        <v>L.S/H.S. TANK</v>
      </c>
      <c r="C88" s="7">
        <v>0</v>
      </c>
      <c r="D88" s="8" t="s">
        <v>169</v>
      </c>
      <c r="E88" s="9">
        <f>'BD SHEET FROM COMPANY'!K87</f>
        <v>2586.7040000000002</v>
      </c>
      <c r="F88" s="16"/>
      <c r="G88" s="95">
        <f t="shared" si="13"/>
        <v>240.31289774152495</v>
      </c>
      <c r="H88" s="10">
        <f>'BD SHEET FROM COMPANY'!E87</f>
        <v>15</v>
      </c>
      <c r="I88" s="30">
        <f t="shared" si="14"/>
        <v>4.5717768972874122</v>
      </c>
      <c r="J88" s="31">
        <f>'BD SHEET FROM COMPANY'!F87</f>
        <v>1991</v>
      </c>
      <c r="K88" s="11">
        <v>2022</v>
      </c>
      <c r="L88" s="10">
        <f t="shared" si="15"/>
        <v>31</v>
      </c>
      <c r="M88" s="11">
        <v>60</v>
      </c>
      <c r="N88" s="12">
        <v>0.1</v>
      </c>
      <c r="O88" s="13">
        <v>0</v>
      </c>
      <c r="P88" s="25">
        <f>IF((H88&lt;=5),VLOOKUP(D88,'building rates'!$B$30:$H$54,2,FALSE),IF(AND(H88&gt;5,H88&lt;=12),VLOOKUP(D88,'building rates'!$B$30:$H$54,3,FALSE),IF(AND(H88&gt;12,H88&lt;=15),VLOOKUP(D88,'building rates'!$B$30:$H$54,4,FALSE),IF(AND(H88&gt;15,H88&lt;=20),VLOOKUP(D88,'building rates'!$B$30:$H$54,5,FALSE),IF(AND(H88&gt;20,H88&lt;=25),VLOOKUP(D88,'building rates'!$B$30:$H$54,6,FALSE),IF(H88&gt;25,VLOOKUP(D88,'building rates'!$B$30:$H$54,7,FALSE),0))))))</f>
        <v>200</v>
      </c>
      <c r="Q88" s="14">
        <f t="shared" si="11"/>
        <v>517340.80000000005</v>
      </c>
      <c r="R88" s="14">
        <f t="shared" si="12"/>
        <v>0</v>
      </c>
      <c r="S88" s="14">
        <f t="shared" si="16"/>
        <v>517340.80000000005</v>
      </c>
      <c r="T88" s="15">
        <v>0.2</v>
      </c>
      <c r="U88" s="14">
        <f t="shared" si="17"/>
        <v>413872.64000000007</v>
      </c>
      <c r="V88" s="3">
        <f t="shared" si="18"/>
        <v>160.00000000000003</v>
      </c>
    </row>
    <row r="89" spans="1:22" ht="16.5" x14ac:dyDescent="0.25">
      <c r="A89" s="7">
        <v>84</v>
      </c>
      <c r="B89" s="27" t="str">
        <f>'BD SHEET FROM COMPANY'!B88</f>
        <v>50 KL HSD TANK</v>
      </c>
      <c r="C89" s="7">
        <v>0</v>
      </c>
      <c r="D89" s="8" t="s">
        <v>169</v>
      </c>
      <c r="E89" s="9">
        <f>'BD SHEET FROM COMPANY'!K88</f>
        <v>215.4152</v>
      </c>
      <c r="F89" s="16">
        <f>50*1000</f>
        <v>50000</v>
      </c>
      <c r="G89" s="95">
        <f t="shared" si="13"/>
        <v>20.012746309423164</v>
      </c>
      <c r="H89" s="10">
        <f>'BD SHEET FROM COMPANY'!E88</f>
        <v>0</v>
      </c>
      <c r="I89" s="30">
        <f t="shared" si="14"/>
        <v>0</v>
      </c>
      <c r="J89" s="31">
        <f>'BD SHEET FROM COMPANY'!F88</f>
        <v>1991</v>
      </c>
      <c r="K89" s="11">
        <v>2022</v>
      </c>
      <c r="L89" s="10">
        <f t="shared" si="15"/>
        <v>31</v>
      </c>
      <c r="M89" s="11">
        <v>40</v>
      </c>
      <c r="N89" s="12">
        <v>0.1</v>
      </c>
      <c r="O89" s="13">
        <v>0</v>
      </c>
      <c r="P89" s="35">
        <v>18</v>
      </c>
      <c r="Q89" s="14">
        <f>P89*F89</f>
        <v>900000</v>
      </c>
      <c r="R89" s="14">
        <f t="shared" si="12"/>
        <v>0</v>
      </c>
      <c r="S89" s="14">
        <f t="shared" si="16"/>
        <v>900000</v>
      </c>
      <c r="T89" s="15">
        <v>0.2</v>
      </c>
      <c r="U89" s="14">
        <f t="shared" si="17"/>
        <v>720000</v>
      </c>
      <c r="V89" s="3">
        <f t="shared" si="18"/>
        <v>3342.3825245386583</v>
      </c>
    </row>
    <row r="90" spans="1:22" ht="45" customHeight="1" x14ac:dyDescent="0.25">
      <c r="A90" s="7">
        <v>85</v>
      </c>
      <c r="B90" s="27" t="str">
        <f>'BD SHEET FROM COMPANY'!B89</f>
        <v>SULPHUR ROOM</v>
      </c>
      <c r="C90" s="7">
        <v>1</v>
      </c>
      <c r="D90" s="8" t="s">
        <v>158</v>
      </c>
      <c r="E90" s="9">
        <f>'BD SHEET FROM COMPANY'!K89</f>
        <v>591.79999999999995</v>
      </c>
      <c r="F90" s="9"/>
      <c r="G90" s="95">
        <f t="shared" si="13"/>
        <v>54.980072278635063</v>
      </c>
      <c r="H90" s="10">
        <f>'BD SHEET FROM COMPANY'!E89</f>
        <v>16.64</v>
      </c>
      <c r="I90" s="30">
        <f t="shared" si="14"/>
        <v>5.071624504724169</v>
      </c>
      <c r="J90" s="31">
        <f>'BD SHEET FROM COMPANY'!F89</f>
        <v>1991</v>
      </c>
      <c r="K90" s="11">
        <v>2022</v>
      </c>
      <c r="L90" s="10">
        <f t="shared" si="15"/>
        <v>31</v>
      </c>
      <c r="M90" s="11">
        <v>60</v>
      </c>
      <c r="N90" s="12">
        <v>0.1</v>
      </c>
      <c r="O90" s="13">
        <f t="shared" si="10"/>
        <v>1.5000000000000001E-2</v>
      </c>
      <c r="P90" s="25">
        <f>IF((H90&lt;=5),VLOOKUP(D90,'building rates'!$B$30:$H$54,2,FALSE),IF(AND(H90&gt;5,H90&lt;=12),VLOOKUP(D90,'building rates'!$B$30:$H$54,3,FALSE),IF(AND(H90&gt;12,H90&lt;=15),VLOOKUP(D90,'building rates'!$B$30:$H$54,4,FALSE),IF(AND(H90&gt;15,H90&lt;=20),VLOOKUP(D90,'building rates'!$B$30:$H$54,5,FALSE),IF(AND(H90&gt;20,H90&lt;=25),VLOOKUP(D90,'building rates'!$B$30:$H$54,6,FALSE),IF(H90&gt;25,VLOOKUP(D90,'building rates'!$B$30:$H$54,7,FALSE),0))))))</f>
        <v>1400</v>
      </c>
      <c r="Q90" s="14">
        <f t="shared" si="11"/>
        <v>828519.99999999988</v>
      </c>
      <c r="R90" s="14">
        <f t="shared" si="12"/>
        <v>385261.8</v>
      </c>
      <c r="S90" s="14">
        <f t="shared" si="16"/>
        <v>443258.1999999999</v>
      </c>
      <c r="T90" s="15">
        <v>0.2</v>
      </c>
      <c r="U90" s="14">
        <f t="shared" si="17"/>
        <v>354606.55999999994</v>
      </c>
      <c r="V90" s="3">
        <f t="shared" si="18"/>
        <v>599.19999999999993</v>
      </c>
    </row>
    <row r="91" spans="1:22" ht="30" customHeight="1" x14ac:dyDescent="0.25">
      <c r="A91" s="7">
        <v>86</v>
      </c>
      <c r="B91" s="27" t="str">
        <f>'BD SHEET FROM COMPANY'!B90</f>
        <v>132 KVA YARD SUB STATION</v>
      </c>
      <c r="C91" s="7">
        <v>0</v>
      </c>
      <c r="D91" s="8" t="s">
        <v>172</v>
      </c>
      <c r="E91" s="9">
        <f>'BD SHEET FROM COMPANY'!K90</f>
        <v>23859.869599999998</v>
      </c>
      <c r="F91" s="9"/>
      <c r="G91" s="95">
        <f t="shared" si="13"/>
        <v>2216.6565649996746</v>
      </c>
      <c r="H91" s="10">
        <f>'BD SHEET FROM COMPANY'!E90</f>
        <v>0</v>
      </c>
      <c r="I91" s="30">
        <f t="shared" si="14"/>
        <v>0</v>
      </c>
      <c r="J91" s="31">
        <f>'BD SHEET FROM COMPANY'!F90</f>
        <v>1991</v>
      </c>
      <c r="K91" s="11">
        <v>2022</v>
      </c>
      <c r="L91" s="10">
        <f t="shared" si="15"/>
        <v>31</v>
      </c>
      <c r="M91" s="11">
        <v>60</v>
      </c>
      <c r="N91" s="12">
        <v>0.1</v>
      </c>
      <c r="O91" s="13">
        <v>0</v>
      </c>
      <c r="P91" s="25">
        <f>IF((H91&lt;=5),VLOOKUP(D91,'building rates'!$B$30:$H$54,2,FALSE),IF(AND(H91&gt;5,H91&lt;=12),VLOOKUP(D91,'building rates'!$B$30:$H$54,3,FALSE),IF(AND(H91&gt;12,H91&lt;=15),VLOOKUP(D91,'building rates'!$B$30:$H$54,4,FALSE),IF(AND(H91&gt;15,H91&lt;=20),VLOOKUP(D91,'building rates'!$B$30:$H$54,5,FALSE),IF(AND(H91&gt;20,H91&lt;=25),VLOOKUP(D91,'building rates'!$B$30:$H$54,6,FALSE),IF(H91&gt;25,VLOOKUP(D91,'building rates'!$B$30:$H$54,7,FALSE),0))))))</f>
        <v>100</v>
      </c>
      <c r="Q91" s="14">
        <f t="shared" si="11"/>
        <v>2385986.96</v>
      </c>
      <c r="R91" s="14">
        <f t="shared" si="12"/>
        <v>0</v>
      </c>
      <c r="S91" s="14">
        <f t="shared" si="16"/>
        <v>2385986.96</v>
      </c>
      <c r="T91" s="15">
        <v>0.2</v>
      </c>
      <c r="U91" s="14">
        <f t="shared" si="17"/>
        <v>1908789.568</v>
      </c>
      <c r="V91" s="3">
        <f t="shared" si="18"/>
        <v>80</v>
      </c>
    </row>
    <row r="92" spans="1:22" ht="30" customHeight="1" x14ac:dyDescent="0.25">
      <c r="A92" s="7">
        <v>87</v>
      </c>
      <c r="B92" s="27" t="str">
        <f>'BD SHEET FROM COMPANY'!B91</f>
        <v>ASH SILO (20 TPH BOILER)</v>
      </c>
      <c r="C92" s="7">
        <v>0</v>
      </c>
      <c r="D92" s="8" t="s">
        <v>172</v>
      </c>
      <c r="E92" s="9">
        <f>'BD SHEET FROM COMPANY'!K91</f>
        <v>1130.4456</v>
      </c>
      <c r="F92" s="9"/>
      <c r="G92" s="95">
        <f t="shared" si="13"/>
        <v>105.02193442897092</v>
      </c>
      <c r="H92" s="10">
        <f>'BD SHEET FROM COMPANY'!E91</f>
        <v>61.567999999999998</v>
      </c>
      <c r="I92" s="30">
        <f t="shared" si="14"/>
        <v>18.765010667479427</v>
      </c>
      <c r="J92" s="31">
        <f>'BD SHEET FROM COMPANY'!F91</f>
        <v>1991</v>
      </c>
      <c r="K92" s="11">
        <v>2022</v>
      </c>
      <c r="L92" s="10">
        <f t="shared" si="15"/>
        <v>31</v>
      </c>
      <c r="M92" s="11">
        <v>60</v>
      </c>
      <c r="N92" s="12">
        <v>0.1</v>
      </c>
      <c r="O92" s="13">
        <v>0</v>
      </c>
      <c r="P92" s="25">
        <f>IF((H92&lt;=5),VLOOKUP(D92,'building rates'!$B$30:$H$54,2,FALSE),IF(AND(H92&gt;5,H92&lt;=12),VLOOKUP(D92,'building rates'!$B$30:$H$54,3,FALSE),IF(AND(H92&gt;12,H92&lt;=15),VLOOKUP(D92,'building rates'!$B$30:$H$54,4,FALSE),IF(AND(H92&gt;15,H92&lt;=20),VLOOKUP(D92,'building rates'!$B$30:$H$54,5,FALSE),IF(AND(H92&gt;20,H92&lt;=25),VLOOKUP(D92,'building rates'!$B$30:$H$54,6,FALSE),IF(H92&gt;25,VLOOKUP(D92,'building rates'!$B$30:$H$54,7,FALSE),0))))))</f>
        <v>200</v>
      </c>
      <c r="Q92" s="14">
        <f t="shared" si="11"/>
        <v>226089.12</v>
      </c>
      <c r="R92" s="14">
        <f t="shared" si="12"/>
        <v>0</v>
      </c>
      <c r="S92" s="14">
        <f t="shared" si="16"/>
        <v>226089.12</v>
      </c>
      <c r="T92" s="15">
        <v>0.2</v>
      </c>
      <c r="U92" s="14">
        <f t="shared" si="17"/>
        <v>180871.296</v>
      </c>
      <c r="V92" s="3">
        <f t="shared" si="18"/>
        <v>160</v>
      </c>
    </row>
    <row r="93" spans="1:22" ht="30" customHeight="1" x14ac:dyDescent="0.25">
      <c r="A93" s="7">
        <v>88</v>
      </c>
      <c r="B93" s="27" t="str">
        <f>'BD SHEET FROM COMPANY'!B92</f>
        <v>ASH SILO (32 TPH BOILER)</v>
      </c>
      <c r="C93" s="7">
        <v>0</v>
      </c>
      <c r="D93" s="8" t="s">
        <v>172</v>
      </c>
      <c r="E93" s="9">
        <f>'BD SHEET FROM COMPANY'!K92</f>
        <v>1130.4456</v>
      </c>
      <c r="F93" s="9"/>
      <c r="G93" s="95">
        <f t="shared" si="13"/>
        <v>105.02193442897092</v>
      </c>
      <c r="H93" s="10">
        <f>'BD SHEET FROM COMPANY'!E92</f>
        <v>61.567999999999998</v>
      </c>
      <c r="I93" s="30">
        <f t="shared" si="14"/>
        <v>18.765010667479427</v>
      </c>
      <c r="J93" s="31">
        <f>'BD SHEET FROM COMPANY'!F92</f>
        <v>2019</v>
      </c>
      <c r="K93" s="11">
        <v>2022</v>
      </c>
      <c r="L93" s="10">
        <f t="shared" si="15"/>
        <v>3</v>
      </c>
      <c r="M93" s="11">
        <v>60</v>
      </c>
      <c r="N93" s="12">
        <v>0.1</v>
      </c>
      <c r="O93" s="13">
        <v>0</v>
      </c>
      <c r="P93" s="25">
        <f>IF((H93&lt;=5),VLOOKUP(D93,'building rates'!$B$30:$H$54,2,FALSE),IF(AND(H93&gt;5,H93&lt;=12),VLOOKUP(D93,'building rates'!$B$30:$H$54,3,FALSE),IF(AND(H93&gt;12,H93&lt;=15),VLOOKUP(D93,'building rates'!$B$30:$H$54,4,FALSE),IF(AND(H93&gt;15,H93&lt;=20),VLOOKUP(D93,'building rates'!$B$30:$H$54,5,FALSE),IF(AND(H93&gt;20,H93&lt;=25),VLOOKUP(D93,'building rates'!$B$30:$H$54,6,FALSE),IF(H93&gt;25,VLOOKUP(D93,'building rates'!$B$30:$H$54,7,FALSE),0))))))</f>
        <v>200</v>
      </c>
      <c r="Q93" s="14">
        <f t="shared" si="11"/>
        <v>226089.12</v>
      </c>
      <c r="R93" s="14">
        <f t="shared" si="12"/>
        <v>0</v>
      </c>
      <c r="S93" s="14">
        <f t="shared" si="16"/>
        <v>226089.12</v>
      </c>
      <c r="T93" s="15">
        <v>0.2</v>
      </c>
      <c r="U93" s="14">
        <f t="shared" si="17"/>
        <v>180871.296</v>
      </c>
      <c r="V93" s="3">
        <f t="shared" si="18"/>
        <v>160</v>
      </c>
    </row>
    <row r="94" spans="1:22" ht="30" x14ac:dyDescent="0.25">
      <c r="A94" s="7">
        <v>89</v>
      </c>
      <c r="B94" s="27" t="str">
        <f>'BD SHEET FROM COMPANY'!B93</f>
        <v>TWIN O.H. TANK, CAPACITY: 68.0 CUM.</v>
      </c>
      <c r="C94" s="7">
        <v>2</v>
      </c>
      <c r="D94" s="8" t="s">
        <v>172</v>
      </c>
      <c r="E94" s="9">
        <f>'BD SHEET FROM COMPANY'!K93</f>
        <v>93.073999999999998</v>
      </c>
      <c r="F94" s="16">
        <f>68*1000</f>
        <v>68000</v>
      </c>
      <c r="G94" s="95">
        <f t="shared" si="13"/>
        <v>8.646865912912606</v>
      </c>
      <c r="H94" s="10">
        <f>'BD SHEET FROM COMPANY'!E93</f>
        <v>93.183999999999997</v>
      </c>
      <c r="I94" s="30">
        <f t="shared" si="14"/>
        <v>28.401097226455349</v>
      </c>
      <c r="J94" s="31">
        <f>'BD SHEET FROM COMPANY'!F93</f>
        <v>1991</v>
      </c>
      <c r="K94" s="11">
        <v>2022</v>
      </c>
      <c r="L94" s="10">
        <f t="shared" si="15"/>
        <v>31</v>
      </c>
      <c r="M94" s="11">
        <v>40</v>
      </c>
      <c r="N94" s="12">
        <v>0.1</v>
      </c>
      <c r="O94" s="13">
        <v>0</v>
      </c>
      <c r="P94" s="35">
        <v>18</v>
      </c>
      <c r="Q94" s="14">
        <f>P94*F94</f>
        <v>1224000</v>
      </c>
      <c r="R94" s="14">
        <f t="shared" si="12"/>
        <v>0</v>
      </c>
      <c r="S94" s="14">
        <f t="shared" si="16"/>
        <v>1224000</v>
      </c>
      <c r="T94" s="15">
        <v>0.2</v>
      </c>
      <c r="U94" s="14">
        <f t="shared" si="17"/>
        <v>979200</v>
      </c>
      <c r="V94" s="3">
        <f t="shared" si="18"/>
        <v>10520.660979435717</v>
      </c>
    </row>
    <row r="95" spans="1:22" ht="30" x14ac:dyDescent="0.25">
      <c r="A95" s="7">
        <v>90</v>
      </c>
      <c r="B95" s="27" t="str">
        <f>'BD SHEET FROM COMPANY'!B94</f>
        <v>BACK WASH TANK, CAPACITY: 150.CUM.</v>
      </c>
      <c r="C95" s="7">
        <v>1</v>
      </c>
      <c r="D95" s="8" t="s">
        <v>172</v>
      </c>
      <c r="E95" s="9">
        <f>'BD SHEET FROM COMPANY'!K94</f>
        <v>1076</v>
      </c>
      <c r="F95" s="16">
        <f>150*1000</f>
        <v>150000</v>
      </c>
      <c r="G95" s="95">
        <f t="shared" si="13"/>
        <v>99.963767779336493</v>
      </c>
      <c r="H95" s="10">
        <f>'BD SHEET FROM COMPANY'!E94</f>
        <v>14.975999999999999</v>
      </c>
      <c r="I95" s="30">
        <f t="shared" si="14"/>
        <v>4.5644620542517522</v>
      </c>
      <c r="J95" s="31">
        <f>'BD SHEET FROM COMPANY'!F94</f>
        <v>1991</v>
      </c>
      <c r="K95" s="11">
        <v>2022</v>
      </c>
      <c r="L95" s="10">
        <f t="shared" si="15"/>
        <v>31</v>
      </c>
      <c r="M95" s="11">
        <v>40</v>
      </c>
      <c r="N95" s="12">
        <v>0.1</v>
      </c>
      <c r="O95" s="13">
        <v>0</v>
      </c>
      <c r="P95" s="35">
        <v>35</v>
      </c>
      <c r="Q95" s="14">
        <f>P95*F95</f>
        <v>5250000</v>
      </c>
      <c r="R95" s="14">
        <f t="shared" si="12"/>
        <v>0</v>
      </c>
      <c r="S95" s="14">
        <f t="shared" si="16"/>
        <v>5250000</v>
      </c>
      <c r="T95" s="15">
        <v>0.2</v>
      </c>
      <c r="U95" s="14">
        <f t="shared" si="17"/>
        <v>4200000</v>
      </c>
      <c r="V95" s="3">
        <f t="shared" si="18"/>
        <v>3903.3457249070634</v>
      </c>
    </row>
    <row r="96" spans="1:22" ht="45" customHeight="1" x14ac:dyDescent="0.25">
      <c r="A96" s="7">
        <v>91</v>
      </c>
      <c r="B96" s="27" t="str">
        <f>'BD SHEET FROM COMPANY'!B95</f>
        <v>COAL CRUSHER</v>
      </c>
      <c r="C96" s="7">
        <v>1</v>
      </c>
      <c r="D96" s="8" t="s">
        <v>173</v>
      </c>
      <c r="E96" s="9">
        <f>'BD SHEET FROM COMPANY'!K95</f>
        <v>490.11799999999994</v>
      </c>
      <c r="F96" s="9"/>
      <c r="G96" s="95">
        <f t="shared" si="13"/>
        <v>45.533496223487766</v>
      </c>
      <c r="H96" s="10">
        <f>'BD SHEET FROM COMPANY'!E95</f>
        <v>33.28</v>
      </c>
      <c r="I96" s="30">
        <f t="shared" si="14"/>
        <v>10.143249009448338</v>
      </c>
      <c r="J96" s="31">
        <f>'BD SHEET FROM COMPANY'!F95</f>
        <v>1991</v>
      </c>
      <c r="K96" s="11">
        <v>2022</v>
      </c>
      <c r="L96" s="10">
        <f t="shared" si="15"/>
        <v>31</v>
      </c>
      <c r="M96" s="11">
        <v>40</v>
      </c>
      <c r="N96" s="12">
        <v>0.1</v>
      </c>
      <c r="O96" s="13">
        <f t="shared" si="10"/>
        <v>2.2499999999999999E-2</v>
      </c>
      <c r="P96" s="25">
        <f>IF((H96&lt;=5),VLOOKUP(D96,'building rates'!$B$30:$H$54,2,FALSE),IF(AND(H96&gt;5,H96&lt;=12),VLOOKUP(D96,'building rates'!$B$30:$H$54,3,FALSE),IF(AND(H96&gt;12,H96&lt;=15),VLOOKUP(D96,'building rates'!$B$30:$H$54,4,FALSE),IF(AND(H96&gt;15,H96&lt;=20),VLOOKUP(D96,'building rates'!$B$30:$H$54,5,FALSE),IF(AND(H96&gt;20,H96&lt;=25),VLOOKUP(D96,'building rates'!$B$30:$H$54,6,FALSE),IF(H96&gt;25,VLOOKUP(D96,'building rates'!$B$30:$H$54,7,FALSE),0))))))</f>
        <v>1100</v>
      </c>
      <c r="Q96" s="14">
        <f t="shared" si="11"/>
        <v>539129.79999999993</v>
      </c>
      <c r="R96" s="14">
        <f t="shared" si="12"/>
        <v>376043.03549999994</v>
      </c>
      <c r="S96" s="14">
        <f t="shared" si="16"/>
        <v>163086.76449999999</v>
      </c>
      <c r="T96" s="15">
        <v>0.2</v>
      </c>
      <c r="U96" s="14">
        <f t="shared" si="17"/>
        <v>130469.41159999999</v>
      </c>
      <c r="V96" s="3">
        <f t="shared" si="18"/>
        <v>266.20000000000005</v>
      </c>
    </row>
    <row r="97" spans="1:22" ht="45" customHeight="1" x14ac:dyDescent="0.25">
      <c r="A97" s="7">
        <v>92</v>
      </c>
      <c r="B97" s="27" t="str">
        <f>'BD SHEET FROM COMPANY'!B96</f>
        <v>SECURITY BARRAK</v>
      </c>
      <c r="C97" s="7">
        <v>1</v>
      </c>
      <c r="D97" s="8" t="s">
        <v>158</v>
      </c>
      <c r="E97" s="9">
        <f>'BD SHEET FROM COMPANY'!K96</f>
        <v>2853.1216000000004</v>
      </c>
      <c r="F97" s="9"/>
      <c r="G97" s="95">
        <f t="shared" si="13"/>
        <v>265.06392664368866</v>
      </c>
      <c r="H97" s="10">
        <f>'BD SHEET FROM COMPANY'!E96</f>
        <v>11.648</v>
      </c>
      <c r="I97" s="30">
        <f t="shared" si="14"/>
        <v>3.5501371533069186</v>
      </c>
      <c r="J97" s="31">
        <f>'BD SHEET FROM COMPANY'!F96</f>
        <v>1991</v>
      </c>
      <c r="K97" s="11">
        <v>2022</v>
      </c>
      <c r="L97" s="10">
        <f t="shared" si="15"/>
        <v>31</v>
      </c>
      <c r="M97" s="11">
        <v>60</v>
      </c>
      <c r="N97" s="12">
        <v>0.1</v>
      </c>
      <c r="O97" s="13">
        <f t="shared" si="10"/>
        <v>1.5000000000000001E-2</v>
      </c>
      <c r="P97" s="25">
        <f>IF((H97&lt;=5),VLOOKUP(D97,'building rates'!$B$30:$H$54,2,FALSE),IF(AND(H97&gt;5,H97&lt;=12),VLOOKUP(D97,'building rates'!$B$30:$H$54,3,FALSE),IF(AND(H97&gt;12,H97&lt;=15),VLOOKUP(D97,'building rates'!$B$30:$H$54,4,FALSE),IF(AND(H97&gt;15,H97&lt;=20),VLOOKUP(D97,'building rates'!$B$30:$H$54,5,FALSE),IF(AND(H97&gt;20,H97&lt;=25),VLOOKUP(D97,'building rates'!$B$30:$H$54,6,FALSE),IF(H97&gt;25,VLOOKUP(D97,'building rates'!$B$30:$H$54,7,FALSE),0))))))</f>
        <v>1000</v>
      </c>
      <c r="Q97" s="14">
        <f t="shared" si="11"/>
        <v>2853121.6000000006</v>
      </c>
      <c r="R97" s="14">
        <f t="shared" si="12"/>
        <v>1326701.5440000005</v>
      </c>
      <c r="S97" s="14">
        <f t="shared" si="16"/>
        <v>1526420.0560000001</v>
      </c>
      <c r="T97" s="15">
        <v>0.2</v>
      </c>
      <c r="U97" s="14">
        <f t="shared" si="17"/>
        <v>1221136.0448</v>
      </c>
      <c r="V97" s="3">
        <f t="shared" si="18"/>
        <v>427.99999999999994</v>
      </c>
    </row>
    <row r="98" spans="1:22" ht="60" customHeight="1" x14ac:dyDescent="0.25">
      <c r="A98" s="7">
        <v>93</v>
      </c>
      <c r="B98" s="27" t="str">
        <f>'BD SHEET FROM COMPANY'!B97</f>
        <v>SECURITY BARRAK (R.S.O.)</v>
      </c>
      <c r="C98" s="7">
        <v>1</v>
      </c>
      <c r="D98" s="8" t="s">
        <v>174</v>
      </c>
      <c r="E98" s="9">
        <f>'BD SHEET FROM COMPANY'!K97</f>
        <v>827.98199999999997</v>
      </c>
      <c r="F98" s="9"/>
      <c r="G98" s="95">
        <f t="shared" si="13"/>
        <v>76.92211930619942</v>
      </c>
      <c r="H98" s="10">
        <f>'BD SHEET FROM COMPANY'!E97</f>
        <v>9.984</v>
      </c>
      <c r="I98" s="30">
        <f t="shared" si="14"/>
        <v>3.0429747028345013</v>
      </c>
      <c r="J98" s="31">
        <f>'BD SHEET FROM COMPANY'!F97</f>
        <v>1991</v>
      </c>
      <c r="K98" s="11">
        <v>2022</v>
      </c>
      <c r="L98" s="10">
        <f t="shared" si="15"/>
        <v>31</v>
      </c>
      <c r="M98" s="11">
        <v>40</v>
      </c>
      <c r="N98" s="12">
        <v>0.1</v>
      </c>
      <c r="O98" s="13">
        <f t="shared" si="10"/>
        <v>2.2499999999999999E-2</v>
      </c>
      <c r="P98" s="25">
        <f>IF((H98&lt;=5),VLOOKUP(D98,'building rates'!$B$30:$H$54,2,FALSE),IF(AND(H98&gt;5,H98&lt;=12),VLOOKUP(D98,'building rates'!$B$30:$H$54,3,FALSE),IF(AND(H98&gt;12,H98&lt;=15),VLOOKUP(D98,'building rates'!$B$30:$H$54,4,FALSE),IF(AND(H98&gt;15,H98&lt;=20),VLOOKUP(D98,'building rates'!$B$30:$H$54,5,FALSE),IF(AND(H98&gt;20,H98&lt;=25),VLOOKUP(D98,'building rates'!$B$30:$H$54,6,FALSE),IF(H98&gt;25,VLOOKUP(D98,'building rates'!$B$30:$H$54,7,FALSE),0))))))</f>
        <v>400</v>
      </c>
      <c r="Q98" s="14">
        <f t="shared" si="11"/>
        <v>331192.8</v>
      </c>
      <c r="R98" s="14">
        <f t="shared" si="12"/>
        <v>231006.978</v>
      </c>
      <c r="S98" s="14">
        <f t="shared" si="16"/>
        <v>100185.82199999999</v>
      </c>
      <c r="T98" s="15">
        <v>0.2</v>
      </c>
      <c r="U98" s="14">
        <f t="shared" si="17"/>
        <v>80148.657599999991</v>
      </c>
      <c r="V98" s="3">
        <f t="shared" si="18"/>
        <v>96.8</v>
      </c>
    </row>
    <row r="99" spans="1:22" ht="15" customHeight="1" x14ac:dyDescent="0.25">
      <c r="A99" s="7">
        <v>94</v>
      </c>
      <c r="B99" s="27" t="str">
        <f>'BD SHEET FROM COMPANY'!B98</f>
        <v>NEPTHA YARD (OPEN )</v>
      </c>
      <c r="C99" s="7">
        <v>1</v>
      </c>
      <c r="D99" s="8" t="s">
        <v>169</v>
      </c>
      <c r="E99" s="9">
        <f>'BD SHEET FROM COMPANY'!K98</f>
        <v>7994.68</v>
      </c>
      <c r="F99" s="9"/>
      <c r="G99" s="95">
        <f t="shared" si="13"/>
        <v>742.73079460047018</v>
      </c>
      <c r="H99" s="10">
        <f>'BD SHEET FROM COMPANY'!E98</f>
        <v>9.984</v>
      </c>
      <c r="I99" s="30">
        <f t="shared" si="14"/>
        <v>3.0429747028345013</v>
      </c>
      <c r="J99" s="31">
        <f>'BD SHEET FROM COMPANY'!F98</f>
        <v>1991</v>
      </c>
      <c r="K99" s="11">
        <v>2022</v>
      </c>
      <c r="L99" s="10">
        <f t="shared" si="15"/>
        <v>31</v>
      </c>
      <c r="M99" s="11">
        <v>60</v>
      </c>
      <c r="N99" s="12">
        <v>0.1</v>
      </c>
      <c r="O99" s="13">
        <v>0</v>
      </c>
      <c r="P99" s="25">
        <f>IF((H99&lt;=5),VLOOKUP(D99,'building rates'!$B$30:$H$54,2,FALSE),IF(AND(H99&gt;5,H99&lt;=12),VLOOKUP(D99,'building rates'!$B$30:$H$54,3,FALSE),IF(AND(H99&gt;12,H99&lt;=15),VLOOKUP(D99,'building rates'!$B$30:$H$54,4,FALSE),IF(AND(H99&gt;15,H99&lt;=20),VLOOKUP(D99,'building rates'!$B$30:$H$54,5,FALSE),IF(AND(H99&gt;20,H99&lt;=25),VLOOKUP(D99,'building rates'!$B$30:$H$54,6,FALSE),IF(H99&gt;25,VLOOKUP(D99,'building rates'!$B$30:$H$54,7,FALSE),0))))))</f>
        <v>200</v>
      </c>
      <c r="Q99" s="14">
        <f t="shared" si="11"/>
        <v>1598936</v>
      </c>
      <c r="R99" s="14">
        <f t="shared" si="12"/>
        <v>0</v>
      </c>
      <c r="S99" s="14">
        <f t="shared" si="16"/>
        <v>1598936</v>
      </c>
      <c r="T99" s="15">
        <v>0.2</v>
      </c>
      <c r="U99" s="14">
        <f t="shared" si="17"/>
        <v>1279148.8</v>
      </c>
      <c r="V99" s="3">
        <f t="shared" si="18"/>
        <v>160</v>
      </c>
    </row>
    <row r="100" spans="1:22" ht="15" customHeight="1" x14ac:dyDescent="0.25">
      <c r="A100" s="7">
        <v>95</v>
      </c>
      <c r="B100" s="27" t="str">
        <f>'BD SHEET FROM COMPANY'!B99</f>
        <v>CHIMNEY NEAR THERMOPACK</v>
      </c>
      <c r="C100" s="7">
        <v>1</v>
      </c>
      <c r="D100" s="8" t="s">
        <v>169</v>
      </c>
      <c r="E100" s="9">
        <f>'BD SHEET FROM COMPANY'!K99</f>
        <v>77.256799999999998</v>
      </c>
      <c r="F100" s="9"/>
      <c r="G100" s="95">
        <f t="shared" si="13"/>
        <v>7.1773985265563596</v>
      </c>
      <c r="H100" s="10">
        <f>'BD SHEET FROM COMPANY'!E99</f>
        <v>199.67999999999998</v>
      </c>
      <c r="I100" s="30">
        <f t="shared" si="14"/>
        <v>60.859494056690025</v>
      </c>
      <c r="J100" s="31">
        <f>'BD SHEET FROM COMPANY'!F99</f>
        <v>1991</v>
      </c>
      <c r="K100" s="11">
        <v>2022</v>
      </c>
      <c r="L100" s="10">
        <f t="shared" si="15"/>
        <v>31</v>
      </c>
      <c r="M100" s="11">
        <v>60</v>
      </c>
      <c r="N100" s="12">
        <v>0.1</v>
      </c>
      <c r="O100" s="13">
        <v>0</v>
      </c>
      <c r="P100" s="25">
        <f>IF((H100&lt;=5),VLOOKUP(D100,'building rates'!$B$30:$H$54,2,FALSE),IF(AND(H100&gt;5,H100&lt;=12),VLOOKUP(D100,'building rates'!$B$30:$H$54,3,FALSE),IF(AND(H100&gt;12,H100&lt;=15),VLOOKUP(D100,'building rates'!$B$30:$H$54,4,FALSE),IF(AND(H100&gt;15,H100&lt;=20),VLOOKUP(D100,'building rates'!$B$30:$H$54,5,FALSE),IF(AND(H100&gt;20,H100&lt;=25),VLOOKUP(D100,'building rates'!$B$30:$H$54,6,FALSE),IF(H100&gt;25,VLOOKUP(D100,'building rates'!$B$30:$H$54,7,FALSE),0))))))</f>
        <v>200</v>
      </c>
      <c r="Q100" s="14">
        <f t="shared" si="11"/>
        <v>15451.36</v>
      </c>
      <c r="R100" s="14">
        <f t="shared" si="12"/>
        <v>0</v>
      </c>
      <c r="S100" s="14">
        <f t="shared" si="16"/>
        <v>15451.36</v>
      </c>
      <c r="T100" s="15">
        <v>0.2</v>
      </c>
      <c r="U100" s="14">
        <f t="shared" si="17"/>
        <v>12361.088000000002</v>
      </c>
      <c r="V100" s="3">
        <f t="shared" si="18"/>
        <v>160.00000000000003</v>
      </c>
    </row>
    <row r="101" spans="1:22" ht="15" customHeight="1" x14ac:dyDescent="0.25">
      <c r="A101" s="7">
        <v>96</v>
      </c>
      <c r="B101" s="27" t="str">
        <f>'BD SHEET FROM COMPANY'!B100</f>
        <v>CHIMNEY NEAR  20 T BOILER</v>
      </c>
      <c r="C101" s="7">
        <v>1</v>
      </c>
      <c r="D101" s="8" t="s">
        <v>169</v>
      </c>
      <c r="E101" s="9">
        <f>'BD SHEET FROM COMPANY'!K100</f>
        <v>169.47</v>
      </c>
      <c r="F101" s="9"/>
      <c r="G101" s="95">
        <f t="shared" si="13"/>
        <v>15.744293425245496</v>
      </c>
      <c r="H101" s="10">
        <f>'BD SHEET FROM COMPANY'!E100</f>
        <v>199.67999999999998</v>
      </c>
      <c r="I101" s="30">
        <f t="shared" si="14"/>
        <v>60.859494056690025</v>
      </c>
      <c r="J101" s="31">
        <f>'BD SHEET FROM COMPANY'!F100</f>
        <v>1991</v>
      </c>
      <c r="K101" s="11">
        <v>2022</v>
      </c>
      <c r="L101" s="10">
        <f t="shared" si="15"/>
        <v>31</v>
      </c>
      <c r="M101" s="11">
        <v>60</v>
      </c>
      <c r="N101" s="12">
        <v>0.1</v>
      </c>
      <c r="O101" s="13">
        <v>0</v>
      </c>
      <c r="P101" s="25">
        <f>IF((H101&lt;=5),VLOOKUP(D101,'building rates'!$B$30:$H$54,2,FALSE),IF(AND(H101&gt;5,H101&lt;=12),VLOOKUP(D101,'building rates'!$B$30:$H$54,3,FALSE),IF(AND(H101&gt;12,H101&lt;=15),VLOOKUP(D101,'building rates'!$B$30:$H$54,4,FALSE),IF(AND(H101&gt;15,H101&lt;=20),VLOOKUP(D101,'building rates'!$B$30:$H$54,5,FALSE),IF(AND(H101&gt;20,H101&lt;=25),VLOOKUP(D101,'building rates'!$B$30:$H$54,6,FALSE),IF(H101&gt;25,VLOOKUP(D101,'building rates'!$B$30:$H$54,7,FALSE),0))))))</f>
        <v>200</v>
      </c>
      <c r="Q101" s="14">
        <f t="shared" si="11"/>
        <v>33894</v>
      </c>
      <c r="R101" s="14">
        <f t="shared" si="12"/>
        <v>0</v>
      </c>
      <c r="S101" s="14">
        <f t="shared" si="16"/>
        <v>33894</v>
      </c>
      <c r="T101" s="15">
        <v>0.2</v>
      </c>
      <c r="U101" s="14">
        <f t="shared" si="17"/>
        <v>27115.200000000001</v>
      </c>
      <c r="V101" s="3">
        <f t="shared" si="18"/>
        <v>160</v>
      </c>
    </row>
    <row r="102" spans="1:22" ht="45" customHeight="1" x14ac:dyDescent="0.25">
      <c r="A102" s="7">
        <v>97</v>
      </c>
      <c r="B102" s="27" t="str">
        <f>'BD SHEET FROM COMPANY'!B101</f>
        <v>MEZANINE FLOORS IN PLANT</v>
      </c>
      <c r="C102" s="7">
        <v>1</v>
      </c>
      <c r="D102" s="8" t="s">
        <v>158</v>
      </c>
      <c r="E102" s="9">
        <f>'BD SHEET FROM COMPANY'!K101</f>
        <v>16570.400000000001</v>
      </c>
      <c r="F102" s="9"/>
      <c r="G102" s="95">
        <f t="shared" si="13"/>
        <v>1539.4420238017822</v>
      </c>
      <c r="H102" s="10">
        <f>'BD SHEET FROM COMPANY'!E101</f>
        <v>13.311999999999999</v>
      </c>
      <c r="I102" s="30">
        <f t="shared" si="14"/>
        <v>4.0572996037793354</v>
      </c>
      <c r="J102" s="31">
        <f>'BD SHEET FROM COMPANY'!F101</f>
        <v>1991</v>
      </c>
      <c r="K102" s="11">
        <v>2022</v>
      </c>
      <c r="L102" s="10">
        <f t="shared" si="15"/>
        <v>31</v>
      </c>
      <c r="M102" s="11">
        <v>60</v>
      </c>
      <c r="N102" s="12">
        <v>0.1</v>
      </c>
      <c r="O102" s="13">
        <f t="shared" si="10"/>
        <v>1.5000000000000001E-2</v>
      </c>
      <c r="P102" s="25">
        <f>IF((H102&lt;=5),VLOOKUP(D102,'building rates'!$B$30:$H$54,2,FALSE),IF(AND(H102&gt;5,H102&lt;=12),VLOOKUP(D102,'building rates'!$B$30:$H$54,3,FALSE),IF(AND(H102&gt;12,H102&lt;=15),VLOOKUP(D102,'building rates'!$B$30:$H$54,4,FALSE),IF(AND(H102&gt;15,H102&lt;=20),VLOOKUP(D102,'building rates'!$B$30:$H$54,5,FALSE),IF(AND(H102&gt;20,H102&lt;=25),VLOOKUP(D102,'building rates'!$B$30:$H$54,6,FALSE),IF(H102&gt;25,VLOOKUP(D102,'building rates'!$B$30:$H$54,7,FALSE),0))))))</f>
        <v>1200</v>
      </c>
      <c r="Q102" s="14">
        <f t="shared" si="11"/>
        <v>19884480</v>
      </c>
      <c r="R102" s="14">
        <f t="shared" si="12"/>
        <v>9246283.2000000011</v>
      </c>
      <c r="S102" s="14">
        <f t="shared" si="16"/>
        <v>10638196.799999999</v>
      </c>
      <c r="T102" s="15">
        <v>0.2</v>
      </c>
      <c r="U102" s="14">
        <f t="shared" si="17"/>
        <v>8510557.4399999995</v>
      </c>
      <c r="V102" s="3">
        <f t="shared" si="18"/>
        <v>513.59999999999991</v>
      </c>
    </row>
    <row r="103" spans="1:22" ht="45" customHeight="1" x14ac:dyDescent="0.25">
      <c r="A103" s="7">
        <v>98</v>
      </c>
      <c r="B103" s="27" t="str">
        <f>'BD SHEET FROM COMPANY'!B102</f>
        <v>NEW DG HOUSE - (PART-1)</v>
      </c>
      <c r="C103" s="7">
        <v>1</v>
      </c>
      <c r="D103" s="8" t="s">
        <v>158</v>
      </c>
      <c r="E103" s="9">
        <f>'BD SHEET FROM COMPANY'!K102</f>
        <v>3690.68</v>
      </c>
      <c r="F103" s="9"/>
      <c r="G103" s="95">
        <f t="shared" si="13"/>
        <v>342.87572348312415</v>
      </c>
      <c r="H103" s="10">
        <f>'BD SHEET FROM COMPANY'!E102</f>
        <v>23.295999999999999</v>
      </c>
      <c r="I103" s="30">
        <f t="shared" si="14"/>
        <v>7.1002743066138372</v>
      </c>
      <c r="J103" s="31">
        <f>'BD SHEET FROM COMPANY'!F102</f>
        <v>1991</v>
      </c>
      <c r="K103" s="11">
        <v>2022</v>
      </c>
      <c r="L103" s="10">
        <f t="shared" si="15"/>
        <v>31</v>
      </c>
      <c r="M103" s="11">
        <v>60</v>
      </c>
      <c r="N103" s="12">
        <v>0.1</v>
      </c>
      <c r="O103" s="13">
        <f t="shared" si="10"/>
        <v>1.5000000000000001E-2</v>
      </c>
      <c r="P103" s="25">
        <f>IF((H103&lt;=5),VLOOKUP(D103,'building rates'!$B$30:$H$54,2,FALSE),IF(AND(H103&gt;5,H103&lt;=12),VLOOKUP(D103,'building rates'!$B$30:$H$54,3,FALSE),IF(AND(H103&gt;12,H103&lt;=15),VLOOKUP(D103,'building rates'!$B$30:$H$54,4,FALSE),IF(AND(H103&gt;15,H103&lt;=20),VLOOKUP(D103,'building rates'!$B$30:$H$54,5,FALSE),IF(AND(H103&gt;20,H103&lt;=25),VLOOKUP(D103,'building rates'!$B$30:$H$54,6,FALSE),IF(H103&gt;25,VLOOKUP(D103,'building rates'!$B$30:$H$54,7,FALSE),0))))))</f>
        <v>1500</v>
      </c>
      <c r="Q103" s="14">
        <f t="shared" si="11"/>
        <v>5536020</v>
      </c>
      <c r="R103" s="14">
        <f t="shared" si="12"/>
        <v>2574249.3000000003</v>
      </c>
      <c r="S103" s="14">
        <f t="shared" si="16"/>
        <v>2961770.6999999997</v>
      </c>
      <c r="T103" s="15">
        <v>0.2</v>
      </c>
      <c r="U103" s="14">
        <f t="shared" si="17"/>
        <v>2369416.56</v>
      </c>
      <c r="V103" s="3">
        <f t="shared" si="18"/>
        <v>642</v>
      </c>
    </row>
    <row r="104" spans="1:22" ht="60" customHeight="1" x14ac:dyDescent="0.25">
      <c r="A104" s="7">
        <v>99</v>
      </c>
      <c r="B104" s="27" t="str">
        <f>'BD SHEET FROM COMPANY'!B103</f>
        <v>NEW DG HOUSE - (PART-2)</v>
      </c>
      <c r="C104" s="7">
        <v>1</v>
      </c>
      <c r="D104" s="8" t="s">
        <v>170</v>
      </c>
      <c r="E104" s="9">
        <f>'BD SHEET FROM COMPANY'!K103</f>
        <v>7381.36</v>
      </c>
      <c r="F104" s="9"/>
      <c r="G104" s="95">
        <f t="shared" si="13"/>
        <v>685.7514469662483</v>
      </c>
      <c r="H104" s="10">
        <f>'BD SHEET FROM COMPANY'!E103</f>
        <v>46.591999999999999</v>
      </c>
      <c r="I104" s="30">
        <f t="shared" si="14"/>
        <v>14.200548613227674</v>
      </c>
      <c r="J104" s="31">
        <f>'BD SHEET FROM COMPANY'!F103</f>
        <v>1991</v>
      </c>
      <c r="K104" s="11">
        <v>2022</v>
      </c>
      <c r="L104" s="10">
        <f t="shared" si="15"/>
        <v>31</v>
      </c>
      <c r="M104" s="11">
        <v>40</v>
      </c>
      <c r="N104" s="12">
        <v>0.1</v>
      </c>
      <c r="O104" s="13">
        <f t="shared" si="10"/>
        <v>2.2499999999999999E-2</v>
      </c>
      <c r="P104" s="25">
        <f>IF((H104&lt;=5),VLOOKUP(D104,'building rates'!$B$30:$H$54,2,FALSE),IF(AND(H104&gt;5,H104&lt;=12),VLOOKUP(D104,'building rates'!$B$30:$H$54,3,FALSE),IF(AND(H104&gt;12,H104&lt;=15),VLOOKUP(D104,'building rates'!$B$30:$H$54,4,FALSE),IF(AND(H104&gt;15,H104&lt;=20),VLOOKUP(D104,'building rates'!$B$30:$H$54,5,FALSE),IF(AND(H104&gt;20,H104&lt;=25),VLOOKUP(D104,'building rates'!$B$30:$H$54,6,FALSE),IF(H104&gt;25,VLOOKUP(D104,'building rates'!$B$30:$H$54,7,FALSE),0))))))</f>
        <v>1100</v>
      </c>
      <c r="Q104" s="14">
        <f t="shared" si="11"/>
        <v>8119496</v>
      </c>
      <c r="R104" s="14">
        <f t="shared" si="12"/>
        <v>5663348.46</v>
      </c>
      <c r="S104" s="14">
        <f t="shared" si="16"/>
        <v>2456147.54</v>
      </c>
      <c r="T104" s="15">
        <v>0.2</v>
      </c>
      <c r="U104" s="14">
        <f t="shared" si="17"/>
        <v>1964918.0320000001</v>
      </c>
      <c r="V104" s="3">
        <f t="shared" si="18"/>
        <v>266.20000000000005</v>
      </c>
    </row>
    <row r="105" spans="1:22" ht="15" customHeight="1" x14ac:dyDescent="0.25">
      <c r="A105" s="7">
        <v>100</v>
      </c>
      <c r="B105" s="27" t="str">
        <f>'BD SHEET FROM COMPANY'!B104</f>
        <v xml:space="preserve">COOLING TOWER NO. # 4. </v>
      </c>
      <c r="C105" s="7">
        <v>0</v>
      </c>
      <c r="D105" s="8" t="s">
        <v>169</v>
      </c>
      <c r="E105" s="9">
        <f>'BD SHEET FROM COMPANY'!K104</f>
        <v>3228</v>
      </c>
      <c r="F105" s="9"/>
      <c r="G105" s="95">
        <f t="shared" si="13"/>
        <v>299.89130333800949</v>
      </c>
      <c r="H105" s="10">
        <f>'BD SHEET FROM COMPANY'!E104</f>
        <v>29.951999999999998</v>
      </c>
      <c r="I105" s="30">
        <f t="shared" si="14"/>
        <v>9.1289241085035044</v>
      </c>
      <c r="J105" s="31">
        <f>'BD SHEET FROM COMPANY'!F104</f>
        <v>1991</v>
      </c>
      <c r="K105" s="11">
        <v>2022</v>
      </c>
      <c r="L105" s="10">
        <f t="shared" si="15"/>
        <v>31</v>
      </c>
      <c r="M105" s="11">
        <v>60</v>
      </c>
      <c r="N105" s="12">
        <v>0.1</v>
      </c>
      <c r="O105" s="13">
        <v>0</v>
      </c>
      <c r="P105" s="25">
        <f>IF((H105&lt;=5),VLOOKUP(D105,'building rates'!$B$30:$H$54,2,FALSE),IF(AND(H105&gt;5,H105&lt;=12),VLOOKUP(D105,'building rates'!$B$30:$H$54,3,FALSE),IF(AND(H105&gt;12,H105&lt;=15),VLOOKUP(D105,'building rates'!$B$30:$H$54,4,FALSE),IF(AND(H105&gt;15,H105&lt;=20),VLOOKUP(D105,'building rates'!$B$30:$H$54,5,FALSE),IF(AND(H105&gt;20,H105&lt;=25),VLOOKUP(D105,'building rates'!$B$30:$H$54,6,FALSE),IF(H105&gt;25,VLOOKUP(D105,'building rates'!$B$30:$H$54,7,FALSE),0))))))</f>
        <v>200</v>
      </c>
      <c r="Q105" s="14">
        <f t="shared" si="11"/>
        <v>645600</v>
      </c>
      <c r="R105" s="14">
        <f t="shared" si="12"/>
        <v>0</v>
      </c>
      <c r="S105" s="14">
        <f t="shared" si="16"/>
        <v>645600</v>
      </c>
      <c r="T105" s="15">
        <v>0.2</v>
      </c>
      <c r="U105" s="14">
        <f t="shared" si="17"/>
        <v>516480</v>
      </c>
      <c r="V105" s="3">
        <f t="shared" si="18"/>
        <v>160</v>
      </c>
    </row>
    <row r="106" spans="1:22" ht="45" customHeight="1" x14ac:dyDescent="0.25">
      <c r="A106" s="7">
        <v>101</v>
      </c>
      <c r="B106" s="27" t="str">
        <f>'BD SHEET FROM COMPANY'!B105</f>
        <v>50 TPH BOILER HOUSE (GROUND FLOOR), NOT IN USE</v>
      </c>
      <c r="C106" s="7">
        <v>1</v>
      </c>
      <c r="D106" s="8" t="s">
        <v>158</v>
      </c>
      <c r="E106" s="9">
        <f>'BD SHEET FROM COMPANY'!K105</f>
        <v>1129.8</v>
      </c>
      <c r="F106" s="9"/>
      <c r="G106" s="95">
        <f t="shared" si="13"/>
        <v>104.96195616830332</v>
      </c>
      <c r="H106" s="10">
        <f>'BD SHEET FROM COMPANY'!E105</f>
        <v>14.975999999999999</v>
      </c>
      <c r="I106" s="30">
        <f t="shared" si="14"/>
        <v>4.5644620542517522</v>
      </c>
      <c r="J106" s="31">
        <f>'BD SHEET FROM COMPANY'!F105</f>
        <v>1991</v>
      </c>
      <c r="K106" s="11">
        <v>2022</v>
      </c>
      <c r="L106" s="10">
        <f t="shared" si="15"/>
        <v>31</v>
      </c>
      <c r="M106" s="11">
        <v>60</v>
      </c>
      <c r="N106" s="12">
        <v>0.1</v>
      </c>
      <c r="O106" s="13">
        <f t="shared" si="10"/>
        <v>1.5000000000000001E-2</v>
      </c>
      <c r="P106" s="25">
        <f>IF((H106&lt;=5),VLOOKUP(D106,'building rates'!$B$30:$H$54,2,FALSE),IF(AND(H106&gt;5,H106&lt;=12),VLOOKUP(D106,'building rates'!$B$30:$H$54,3,FALSE),IF(AND(H106&gt;12,H106&lt;=15),VLOOKUP(D106,'building rates'!$B$30:$H$54,4,FALSE),IF(AND(H106&gt;15,H106&lt;=20),VLOOKUP(D106,'building rates'!$B$30:$H$54,5,FALSE),IF(AND(H106&gt;20,H106&lt;=25),VLOOKUP(D106,'building rates'!$B$30:$H$54,6,FALSE),IF(H106&gt;25,VLOOKUP(D106,'building rates'!$B$30:$H$54,7,FALSE),0))))))</f>
        <v>1200</v>
      </c>
      <c r="Q106" s="14">
        <f t="shared" si="11"/>
        <v>1355760</v>
      </c>
      <c r="R106" s="14">
        <f t="shared" si="12"/>
        <v>630428.4</v>
      </c>
      <c r="S106" s="14">
        <f t="shared" si="16"/>
        <v>725331.6</v>
      </c>
      <c r="T106" s="15">
        <v>0.2</v>
      </c>
      <c r="U106" s="14">
        <f t="shared" si="17"/>
        <v>580265.28</v>
      </c>
      <c r="V106" s="3">
        <f t="shared" si="18"/>
        <v>513.6</v>
      </c>
    </row>
    <row r="107" spans="1:22" ht="45" customHeight="1" x14ac:dyDescent="0.25">
      <c r="A107" s="7">
        <v>102</v>
      </c>
      <c r="B107" s="27" t="str">
        <f>'BD SHEET FROM COMPANY'!B106</f>
        <v>50 TPH BOILER HOUSE (MEZZ. FLOOR), NOT IN USE</v>
      </c>
      <c r="C107" s="7">
        <v>1</v>
      </c>
      <c r="D107" s="8" t="s">
        <v>158</v>
      </c>
      <c r="E107" s="9">
        <f>'BD SHEET FROM COMPANY'!K106</f>
        <v>1129.8</v>
      </c>
      <c r="F107" s="9"/>
      <c r="G107" s="95">
        <f t="shared" si="13"/>
        <v>104.96195616830332</v>
      </c>
      <c r="H107" s="10">
        <f>'BD SHEET FROM COMPANY'!E106</f>
        <v>16.64</v>
      </c>
      <c r="I107" s="30">
        <f t="shared" si="14"/>
        <v>5.071624504724169</v>
      </c>
      <c r="J107" s="31">
        <f>'BD SHEET FROM COMPANY'!F106</f>
        <v>1991</v>
      </c>
      <c r="K107" s="11">
        <v>2022</v>
      </c>
      <c r="L107" s="10">
        <f t="shared" si="15"/>
        <v>31</v>
      </c>
      <c r="M107" s="11">
        <v>60</v>
      </c>
      <c r="N107" s="12">
        <v>0.1</v>
      </c>
      <c r="O107" s="13">
        <f t="shared" si="10"/>
        <v>1.5000000000000001E-2</v>
      </c>
      <c r="P107" s="25">
        <f>IF((H107&lt;=5),VLOOKUP(D107,'building rates'!$B$30:$H$54,2,FALSE),IF(AND(H107&gt;5,H107&lt;=12),VLOOKUP(D107,'building rates'!$B$30:$H$54,3,FALSE),IF(AND(H107&gt;12,H107&lt;=15),VLOOKUP(D107,'building rates'!$B$30:$H$54,4,FALSE),IF(AND(H107&gt;15,H107&lt;=20),VLOOKUP(D107,'building rates'!$B$30:$H$54,5,FALSE),IF(AND(H107&gt;20,H107&lt;=25),VLOOKUP(D107,'building rates'!$B$30:$H$54,6,FALSE),IF(H107&gt;25,VLOOKUP(D107,'building rates'!$B$30:$H$54,7,FALSE),0))))))</f>
        <v>1400</v>
      </c>
      <c r="Q107" s="14">
        <f t="shared" si="11"/>
        <v>1581720</v>
      </c>
      <c r="R107" s="14">
        <f t="shared" si="12"/>
        <v>735499.8</v>
      </c>
      <c r="S107" s="14">
        <f t="shared" si="16"/>
        <v>846220.2</v>
      </c>
      <c r="T107" s="15">
        <v>0.2</v>
      </c>
      <c r="U107" s="14">
        <f t="shared" si="17"/>
        <v>676976.16</v>
      </c>
      <c r="V107" s="3">
        <f t="shared" si="18"/>
        <v>599.20000000000005</v>
      </c>
    </row>
    <row r="108" spans="1:22" ht="15" customHeight="1" x14ac:dyDescent="0.25">
      <c r="A108" s="7">
        <v>103</v>
      </c>
      <c r="B108" s="27" t="str">
        <f>'BD SHEET FROM COMPANY'!B107</f>
        <v>CHIMNEY NEAR  50 T BOILER</v>
      </c>
      <c r="C108" s="7">
        <v>0</v>
      </c>
      <c r="D108" s="8" t="s">
        <v>169</v>
      </c>
      <c r="E108" s="9">
        <f>'BD SHEET FROM COMPANY'!K107</f>
        <v>215.2</v>
      </c>
      <c r="F108" s="9"/>
      <c r="G108" s="95">
        <f t="shared" si="13"/>
        <v>19.992753555867296</v>
      </c>
      <c r="H108" s="10">
        <f>'BD SHEET FROM COMPANY'!E107</f>
        <v>199.67999999999998</v>
      </c>
      <c r="I108" s="30">
        <f t="shared" si="14"/>
        <v>60.859494056690025</v>
      </c>
      <c r="J108" s="31">
        <f>'BD SHEET FROM COMPANY'!F107</f>
        <v>1991</v>
      </c>
      <c r="K108" s="11">
        <v>2022</v>
      </c>
      <c r="L108" s="10">
        <f t="shared" si="15"/>
        <v>31</v>
      </c>
      <c r="M108" s="11">
        <v>60</v>
      </c>
      <c r="N108" s="12">
        <v>0.1</v>
      </c>
      <c r="O108" s="13">
        <v>0</v>
      </c>
      <c r="P108" s="25">
        <f>IF((H108&lt;=5),VLOOKUP(D108,'building rates'!$B$30:$H$54,2,FALSE),IF(AND(H108&gt;5,H108&lt;=12),VLOOKUP(D108,'building rates'!$B$30:$H$54,3,FALSE),IF(AND(H108&gt;12,H108&lt;=15),VLOOKUP(D108,'building rates'!$B$30:$H$54,4,FALSE),IF(AND(H108&gt;15,H108&lt;=20),VLOOKUP(D108,'building rates'!$B$30:$H$54,5,FALSE),IF(AND(H108&gt;20,H108&lt;=25),VLOOKUP(D108,'building rates'!$B$30:$H$54,6,FALSE),IF(H108&gt;25,VLOOKUP(D108,'building rates'!$B$30:$H$54,7,FALSE),0))))))</f>
        <v>200</v>
      </c>
      <c r="Q108" s="14">
        <f t="shared" si="11"/>
        <v>43040</v>
      </c>
      <c r="R108" s="14">
        <f t="shared" si="12"/>
        <v>0</v>
      </c>
      <c r="S108" s="14">
        <f t="shared" si="16"/>
        <v>43040</v>
      </c>
      <c r="T108" s="15">
        <v>0.2</v>
      </c>
      <c r="U108" s="14">
        <f t="shared" si="17"/>
        <v>34432</v>
      </c>
      <c r="V108" s="3">
        <f t="shared" si="18"/>
        <v>160</v>
      </c>
    </row>
    <row r="109" spans="1:22" ht="45" customHeight="1" x14ac:dyDescent="0.25">
      <c r="A109" s="7">
        <v>104</v>
      </c>
      <c r="B109" s="27" t="str">
        <f>'BD SHEET FROM COMPANY'!B108</f>
        <v>TURBINE RCC ROOF,NOT IN USE</v>
      </c>
      <c r="C109" s="7">
        <v>2</v>
      </c>
      <c r="D109" s="8" t="s">
        <v>158</v>
      </c>
      <c r="E109" s="9">
        <f>'BD SHEET FROM COMPANY'!K108</f>
        <v>11233.44</v>
      </c>
      <c r="F109" s="9"/>
      <c r="G109" s="95">
        <f t="shared" si="13"/>
        <v>1043.6217356162731</v>
      </c>
      <c r="H109" s="10">
        <f>'BD SHEET FROM COMPANY'!E108</f>
        <v>53.247999999999998</v>
      </c>
      <c r="I109" s="30">
        <f t="shared" si="14"/>
        <v>16.229198415117342</v>
      </c>
      <c r="J109" s="31">
        <f>'BD SHEET FROM COMPANY'!F108</f>
        <v>1991</v>
      </c>
      <c r="K109" s="11">
        <v>2022</v>
      </c>
      <c r="L109" s="10">
        <f t="shared" si="15"/>
        <v>31</v>
      </c>
      <c r="M109" s="11">
        <v>60</v>
      </c>
      <c r="N109" s="12">
        <v>0.1</v>
      </c>
      <c r="O109" s="13">
        <f t="shared" si="10"/>
        <v>1.5000000000000001E-2</v>
      </c>
      <c r="P109" s="25">
        <f>IF((H109&lt;=5),VLOOKUP(D109,'building rates'!$B$30:$H$54,2,FALSE),IF(AND(H109&gt;5,H109&lt;=12),VLOOKUP(D109,'building rates'!$B$30:$H$54,3,FALSE),IF(AND(H109&gt;12,H109&lt;=15),VLOOKUP(D109,'building rates'!$B$30:$H$54,4,FALSE),IF(AND(H109&gt;15,H109&lt;=20),VLOOKUP(D109,'building rates'!$B$30:$H$54,5,FALSE),IF(AND(H109&gt;20,H109&lt;=25),VLOOKUP(D109,'building rates'!$B$30:$H$54,6,FALSE),IF(H109&gt;25,VLOOKUP(D109,'building rates'!$B$30:$H$54,7,FALSE),0))))))</f>
        <v>1700</v>
      </c>
      <c r="Q109" s="14">
        <f t="shared" si="11"/>
        <v>19096848</v>
      </c>
      <c r="R109" s="14">
        <f t="shared" si="12"/>
        <v>8880034.3200000003</v>
      </c>
      <c r="S109" s="14">
        <f t="shared" si="16"/>
        <v>10216813.68</v>
      </c>
      <c r="T109" s="15">
        <v>0.2</v>
      </c>
      <c r="U109" s="14">
        <f t="shared" si="17"/>
        <v>8173450.9440000001</v>
      </c>
      <c r="V109" s="3">
        <f t="shared" si="18"/>
        <v>727.6</v>
      </c>
    </row>
    <row r="110" spans="1:22" ht="45" customHeight="1" x14ac:dyDescent="0.25">
      <c r="A110" s="7">
        <v>105</v>
      </c>
      <c r="B110" s="27" t="str">
        <f>'BD SHEET FROM COMPANY'!B109</f>
        <v>TURBINE (MEZZ. FLOOR), NOT IN USE</v>
      </c>
      <c r="C110" s="7">
        <v>1</v>
      </c>
      <c r="D110" s="8" t="s">
        <v>158</v>
      </c>
      <c r="E110" s="9">
        <f>'BD SHEET FROM COMPANY'!K109</f>
        <v>9813.119999999999</v>
      </c>
      <c r="F110" s="9"/>
      <c r="G110" s="95">
        <f t="shared" si="13"/>
        <v>911.66956214754873</v>
      </c>
      <c r="H110" s="10">
        <f>'BD SHEET FROM COMPANY'!E109</f>
        <v>24.959999999999997</v>
      </c>
      <c r="I110" s="30">
        <f t="shared" si="14"/>
        <v>7.6074367570862531</v>
      </c>
      <c r="J110" s="31">
        <f>'BD SHEET FROM COMPANY'!F109</f>
        <v>1991</v>
      </c>
      <c r="K110" s="11">
        <v>2022</v>
      </c>
      <c r="L110" s="10">
        <f t="shared" si="15"/>
        <v>31</v>
      </c>
      <c r="M110" s="11">
        <v>60</v>
      </c>
      <c r="N110" s="12">
        <v>0.1</v>
      </c>
      <c r="O110" s="13">
        <f t="shared" si="10"/>
        <v>1.5000000000000001E-2</v>
      </c>
      <c r="P110" s="25">
        <f>IF((H110&lt;=5),VLOOKUP(D110,'building rates'!$B$30:$H$54,2,FALSE),IF(AND(H110&gt;5,H110&lt;=12),VLOOKUP(D110,'building rates'!$B$30:$H$54,3,FALSE),IF(AND(H110&gt;12,H110&lt;=15),VLOOKUP(D110,'building rates'!$B$30:$H$54,4,FALSE),IF(AND(H110&gt;15,H110&lt;=20),VLOOKUP(D110,'building rates'!$B$30:$H$54,5,FALSE),IF(AND(H110&gt;20,H110&lt;=25),VLOOKUP(D110,'building rates'!$B$30:$H$54,6,FALSE),IF(H110&gt;25,VLOOKUP(D110,'building rates'!$B$30:$H$54,7,FALSE),0))))))</f>
        <v>1500</v>
      </c>
      <c r="Q110" s="14">
        <f t="shared" si="11"/>
        <v>14719679.999999998</v>
      </c>
      <c r="R110" s="14">
        <f t="shared" si="12"/>
        <v>6844651.1999999993</v>
      </c>
      <c r="S110" s="14">
        <f t="shared" si="16"/>
        <v>7875028.7999999989</v>
      </c>
      <c r="T110" s="15">
        <v>0.2</v>
      </c>
      <c r="U110" s="14">
        <f t="shared" si="17"/>
        <v>6300023.0399999991</v>
      </c>
      <c r="V110" s="3">
        <f t="shared" si="18"/>
        <v>642</v>
      </c>
    </row>
    <row r="111" spans="1:22" ht="15" customHeight="1" x14ac:dyDescent="0.25">
      <c r="A111" s="7">
        <v>106</v>
      </c>
      <c r="B111" s="27" t="str">
        <f>'BD SHEET FROM COMPANY'!B110</f>
        <v>COOLING TOWER NO. # 5</v>
      </c>
      <c r="C111" s="7">
        <v>0</v>
      </c>
      <c r="D111" s="8" t="s">
        <v>169</v>
      </c>
      <c r="E111" s="9">
        <f>'BD SHEET FROM COMPANY'!K110</f>
        <v>2944.1511999999998</v>
      </c>
      <c r="F111" s="9"/>
      <c r="G111" s="95">
        <f t="shared" si="13"/>
        <v>273.52086139782051</v>
      </c>
      <c r="H111" s="10">
        <f>'BD SHEET FROM COMPANY'!E110</f>
        <v>0</v>
      </c>
      <c r="I111" s="30">
        <f t="shared" si="14"/>
        <v>0</v>
      </c>
      <c r="J111" s="31">
        <f>'BD SHEET FROM COMPANY'!F110</f>
        <v>1991</v>
      </c>
      <c r="K111" s="11">
        <v>2022</v>
      </c>
      <c r="L111" s="10">
        <f t="shared" si="15"/>
        <v>31</v>
      </c>
      <c r="M111" s="11">
        <v>60</v>
      </c>
      <c r="N111" s="12">
        <v>0.1</v>
      </c>
      <c r="O111" s="13">
        <v>0</v>
      </c>
      <c r="P111" s="25">
        <f>IF((H111&lt;=5),VLOOKUP(D111,'building rates'!$B$30:$H$54,2,FALSE),IF(AND(H111&gt;5,H111&lt;=12),VLOOKUP(D111,'building rates'!$B$30:$H$54,3,FALSE),IF(AND(H111&gt;12,H111&lt;=15),VLOOKUP(D111,'building rates'!$B$30:$H$54,4,FALSE),IF(AND(H111&gt;15,H111&lt;=20),VLOOKUP(D111,'building rates'!$B$30:$H$54,5,FALSE),IF(AND(H111&gt;20,H111&lt;=25),VLOOKUP(D111,'building rates'!$B$30:$H$54,6,FALSE),IF(H111&gt;25,VLOOKUP(D111,'building rates'!$B$30:$H$54,7,FALSE),0))))))</f>
        <v>100</v>
      </c>
      <c r="Q111" s="14">
        <f t="shared" si="11"/>
        <v>294415.12</v>
      </c>
      <c r="R111" s="14">
        <f t="shared" si="12"/>
        <v>0</v>
      </c>
      <c r="S111" s="14">
        <f t="shared" si="16"/>
        <v>294415.12</v>
      </c>
      <c r="T111" s="15">
        <v>0.2</v>
      </c>
      <c r="U111" s="14">
        <f t="shared" si="17"/>
        <v>235532.09600000002</v>
      </c>
      <c r="V111" s="3">
        <f t="shared" si="18"/>
        <v>80.000000000000014</v>
      </c>
    </row>
    <row r="112" spans="1:22" ht="60" customHeight="1" x14ac:dyDescent="0.25">
      <c r="A112" s="7">
        <v>107</v>
      </c>
      <c r="B112" s="27" t="str">
        <f>'BD SHEET FROM COMPANY'!B111</f>
        <v>HAZARDUS STORE (2 NOS.)</v>
      </c>
      <c r="C112" s="7">
        <v>1</v>
      </c>
      <c r="D112" s="8" t="s">
        <v>170</v>
      </c>
      <c r="E112" s="9">
        <f>'BD SHEET FROM COMPANY'!K111</f>
        <v>1076</v>
      </c>
      <c r="F112" s="9"/>
      <c r="G112" s="95">
        <f t="shared" si="13"/>
        <v>99.963767779336493</v>
      </c>
      <c r="H112" s="10">
        <f>'BD SHEET FROM COMPANY'!E111</f>
        <v>8.6527999999999992</v>
      </c>
      <c r="I112" s="30">
        <f t="shared" si="14"/>
        <v>2.6372447424565677</v>
      </c>
      <c r="J112" s="31">
        <f>'BD SHEET FROM COMPANY'!F111</f>
        <v>1998</v>
      </c>
      <c r="K112" s="11">
        <v>2022</v>
      </c>
      <c r="L112" s="10">
        <f t="shared" si="15"/>
        <v>24</v>
      </c>
      <c r="M112" s="11">
        <v>40</v>
      </c>
      <c r="N112" s="12">
        <v>0.1</v>
      </c>
      <c r="O112" s="13">
        <f t="shared" si="10"/>
        <v>2.2499999999999999E-2</v>
      </c>
      <c r="P112" s="25">
        <f>IF((H112&lt;=5),VLOOKUP(D112,'building rates'!$B$30:$H$54,2,FALSE),IF(AND(H112&gt;5,H112&lt;=12),VLOOKUP(D112,'building rates'!$B$30:$H$54,3,FALSE),IF(AND(H112&gt;12,H112&lt;=15),VLOOKUP(D112,'building rates'!$B$30:$H$54,4,FALSE),IF(AND(H112&gt;15,H112&lt;=20),VLOOKUP(D112,'building rates'!$B$30:$H$54,5,FALSE),IF(AND(H112&gt;20,H112&lt;=25),VLOOKUP(D112,'building rates'!$B$30:$H$54,6,FALSE),IF(H112&gt;25,VLOOKUP(D112,'building rates'!$B$30:$H$54,7,FALSE),0))))))</f>
        <v>400</v>
      </c>
      <c r="Q112" s="14">
        <f t="shared" si="11"/>
        <v>430400</v>
      </c>
      <c r="R112" s="14">
        <f t="shared" si="12"/>
        <v>232416</v>
      </c>
      <c r="S112" s="14">
        <f t="shared" si="16"/>
        <v>197984</v>
      </c>
      <c r="T112" s="15">
        <v>0.2</v>
      </c>
      <c r="U112" s="14">
        <f t="shared" si="17"/>
        <v>158387.20000000001</v>
      </c>
      <c r="V112" s="3">
        <f t="shared" si="18"/>
        <v>147.20000000000002</v>
      </c>
    </row>
    <row r="113" spans="1:22" ht="60" customHeight="1" x14ac:dyDescent="0.25">
      <c r="A113" s="7">
        <v>108</v>
      </c>
      <c r="B113" s="27" t="str">
        <f>'BD SHEET FROM COMPANY'!B112</f>
        <v>PROJECT GODOWN</v>
      </c>
      <c r="C113" s="7">
        <v>1</v>
      </c>
      <c r="D113" s="8" t="s">
        <v>175</v>
      </c>
      <c r="E113" s="9">
        <f>'BD SHEET FROM COMPANY'!K112</f>
        <v>4454.6400000000003</v>
      </c>
      <c r="F113" s="9"/>
      <c r="G113" s="95">
        <f t="shared" si="13"/>
        <v>413.84999860645308</v>
      </c>
      <c r="H113" s="10">
        <f>'BD SHEET FROM COMPANY'!E112</f>
        <v>11.648</v>
      </c>
      <c r="I113" s="30">
        <f t="shared" si="14"/>
        <v>3.5501371533069186</v>
      </c>
      <c r="J113" s="31">
        <f>'BD SHEET FROM COMPANY'!F112</f>
        <v>2008</v>
      </c>
      <c r="K113" s="11">
        <v>2022</v>
      </c>
      <c r="L113" s="10">
        <f t="shared" si="15"/>
        <v>14</v>
      </c>
      <c r="M113" s="11">
        <v>40</v>
      </c>
      <c r="N113" s="12">
        <v>0.1</v>
      </c>
      <c r="O113" s="13">
        <f t="shared" si="10"/>
        <v>2.2499999999999999E-2</v>
      </c>
      <c r="P113" s="25">
        <f>IF((H113&lt;=5),VLOOKUP(D113,'building rates'!$B$30:$H$54,2,FALSE),IF(AND(H113&gt;5,H113&lt;=12),VLOOKUP(D113,'building rates'!$B$30:$H$54,3,FALSE),IF(AND(H113&gt;12,H113&lt;=15),VLOOKUP(D113,'building rates'!$B$30:$H$54,4,FALSE),IF(AND(H113&gt;15,H113&lt;=20),VLOOKUP(D113,'building rates'!$B$30:$H$54,5,FALSE),IF(AND(H113&gt;20,H113&lt;=25),VLOOKUP(D113,'building rates'!$B$30:$H$54,6,FALSE),IF(H113&gt;25,VLOOKUP(D113,'building rates'!$B$30:$H$54,7,FALSE),0))))))</f>
        <v>300</v>
      </c>
      <c r="Q113" s="14">
        <f t="shared" si="11"/>
        <v>1336392</v>
      </c>
      <c r="R113" s="14">
        <f t="shared" si="12"/>
        <v>420963.48</v>
      </c>
      <c r="S113" s="14">
        <f t="shared" si="16"/>
        <v>915428.52</v>
      </c>
      <c r="T113" s="15">
        <v>0.2</v>
      </c>
      <c r="U113" s="14">
        <f t="shared" si="17"/>
        <v>732342.81600000011</v>
      </c>
      <c r="V113" s="3">
        <f t="shared" si="18"/>
        <v>164.4</v>
      </c>
    </row>
    <row r="114" spans="1:22" ht="60" customHeight="1" x14ac:dyDescent="0.25">
      <c r="A114" s="7">
        <v>109</v>
      </c>
      <c r="B114" s="27" t="str">
        <f>'BD SHEET FROM COMPANY'!B113</f>
        <v>CONTRACTOR SHED</v>
      </c>
      <c r="C114" s="7">
        <v>1</v>
      </c>
      <c r="D114" s="8" t="s">
        <v>176</v>
      </c>
      <c r="E114" s="9">
        <f>'BD SHEET FROM COMPANY'!K113</f>
        <v>2421</v>
      </c>
      <c r="F114" s="9"/>
      <c r="G114" s="95">
        <f t="shared" si="13"/>
        <v>224.91847750350709</v>
      </c>
      <c r="H114" s="10">
        <f>'BD SHEET FROM COMPANY'!E113</f>
        <v>13.311999999999999</v>
      </c>
      <c r="I114" s="30">
        <f t="shared" si="14"/>
        <v>4.0572996037793354</v>
      </c>
      <c r="J114" s="31">
        <f>'BD SHEET FROM COMPANY'!F113</f>
        <v>1991</v>
      </c>
      <c r="K114" s="11">
        <v>2022</v>
      </c>
      <c r="L114" s="10">
        <f t="shared" si="15"/>
        <v>31</v>
      </c>
      <c r="M114" s="11">
        <v>40</v>
      </c>
      <c r="N114" s="12">
        <v>0.1</v>
      </c>
      <c r="O114" s="13">
        <f t="shared" si="10"/>
        <v>2.2499999999999999E-2</v>
      </c>
      <c r="P114" s="25">
        <f>IF((H114&lt;=5),VLOOKUP(D114,'building rates'!$B$30:$H$54,2,FALSE),IF(AND(H114&gt;5,H114&lt;=12),VLOOKUP(D114,'building rates'!$B$30:$H$54,3,FALSE),IF(AND(H114&gt;12,H114&lt;=15),VLOOKUP(D114,'building rates'!$B$30:$H$54,4,FALSE),IF(AND(H114&gt;15,H114&lt;=20),VLOOKUP(D114,'building rates'!$B$30:$H$54,5,FALSE),IF(AND(H114&gt;20,H114&lt;=25),VLOOKUP(D114,'building rates'!$B$30:$H$54,6,FALSE),IF(H114&gt;25,VLOOKUP(D114,'building rates'!$B$30:$H$54,7,FALSE),0))))))</f>
        <v>400</v>
      </c>
      <c r="Q114" s="14">
        <f t="shared" si="11"/>
        <v>968400</v>
      </c>
      <c r="R114" s="14">
        <f t="shared" si="12"/>
        <v>675459</v>
      </c>
      <c r="S114" s="14">
        <f t="shared" si="16"/>
        <v>292941</v>
      </c>
      <c r="T114" s="15">
        <v>0.2</v>
      </c>
      <c r="U114" s="14">
        <f t="shared" si="17"/>
        <v>234352.80000000002</v>
      </c>
      <c r="V114" s="3">
        <f t="shared" si="18"/>
        <v>96.800000000000011</v>
      </c>
    </row>
    <row r="115" spans="1:22" ht="60" customHeight="1" x14ac:dyDescent="0.25">
      <c r="A115" s="7">
        <v>110</v>
      </c>
      <c r="B115" s="27" t="str">
        <f>'BD SHEET FROM COMPANY'!B114</f>
        <v>BUS PARKING SHED</v>
      </c>
      <c r="C115" s="7">
        <v>1</v>
      </c>
      <c r="D115" s="8" t="s">
        <v>177</v>
      </c>
      <c r="E115" s="9">
        <f>'BD SHEET FROM COMPANY'!K114</f>
        <v>3228</v>
      </c>
      <c r="F115" s="9"/>
      <c r="G115" s="95">
        <f t="shared" si="13"/>
        <v>299.89130333800949</v>
      </c>
      <c r="H115" s="10">
        <f>'BD SHEET FROM COMPANY'!E114</f>
        <v>16.64</v>
      </c>
      <c r="I115" s="30">
        <f t="shared" si="14"/>
        <v>5.071624504724169</v>
      </c>
      <c r="J115" s="31">
        <f>'BD SHEET FROM COMPANY'!F114</f>
        <v>1991</v>
      </c>
      <c r="K115" s="11">
        <v>2022</v>
      </c>
      <c r="L115" s="10">
        <f t="shared" si="15"/>
        <v>31</v>
      </c>
      <c r="M115" s="11">
        <v>40</v>
      </c>
      <c r="N115" s="12">
        <v>0.1</v>
      </c>
      <c r="O115" s="13">
        <f t="shared" si="10"/>
        <v>2.2499999999999999E-2</v>
      </c>
      <c r="P115" s="25">
        <f>IF((H115&lt;=5),VLOOKUP(D115,'building rates'!$B$30:$H$54,2,FALSE),IF(AND(H115&gt;5,H115&lt;=12),VLOOKUP(D115,'building rates'!$B$30:$H$54,3,FALSE),IF(AND(H115&gt;12,H115&lt;=15),VLOOKUP(D115,'building rates'!$B$30:$H$54,4,FALSE),IF(AND(H115&gt;15,H115&lt;=20),VLOOKUP(D115,'building rates'!$B$30:$H$54,5,FALSE),IF(AND(H115&gt;20,H115&lt;=25),VLOOKUP(D115,'building rates'!$B$30:$H$54,6,FALSE),IF(H115&gt;25,VLOOKUP(D115,'building rates'!$B$30:$H$54,7,FALSE),0))))))</f>
        <v>600</v>
      </c>
      <c r="Q115" s="14">
        <f t="shared" si="11"/>
        <v>1936800</v>
      </c>
      <c r="R115" s="14">
        <f t="shared" si="12"/>
        <v>1350918</v>
      </c>
      <c r="S115" s="14">
        <f t="shared" si="16"/>
        <v>585882</v>
      </c>
      <c r="T115" s="15">
        <v>0.2</v>
      </c>
      <c r="U115" s="14">
        <f t="shared" si="17"/>
        <v>468705.60000000003</v>
      </c>
      <c r="V115" s="3">
        <f t="shared" si="18"/>
        <v>145.20000000000002</v>
      </c>
    </row>
    <row r="116" spans="1:22" ht="60" customHeight="1" x14ac:dyDescent="0.25">
      <c r="A116" s="7">
        <v>111</v>
      </c>
      <c r="B116" s="27" t="str">
        <f>'BD SHEET FROM COMPANY'!B115</f>
        <v>BIKE / CYCLE PARKING SHED</v>
      </c>
      <c r="C116" s="7">
        <v>1</v>
      </c>
      <c r="D116" s="8" t="s">
        <v>178</v>
      </c>
      <c r="E116" s="9">
        <f>'BD SHEET FROM COMPANY'!K115</f>
        <v>4842</v>
      </c>
      <c r="F116" s="9"/>
      <c r="G116" s="95">
        <f t="shared" si="13"/>
        <v>449.83695500701418</v>
      </c>
      <c r="H116" s="10">
        <f>'BD SHEET FROM COMPANY'!E115</f>
        <v>13.311999999999999</v>
      </c>
      <c r="I116" s="30">
        <f t="shared" si="14"/>
        <v>4.0572996037793354</v>
      </c>
      <c r="J116" s="31">
        <f>'BD SHEET FROM COMPANY'!F115</f>
        <v>2012</v>
      </c>
      <c r="K116" s="11">
        <v>2022</v>
      </c>
      <c r="L116" s="10">
        <f t="shared" si="15"/>
        <v>10</v>
      </c>
      <c r="M116" s="11">
        <v>40</v>
      </c>
      <c r="N116" s="12">
        <v>0.1</v>
      </c>
      <c r="O116" s="13">
        <f t="shared" si="10"/>
        <v>2.2499999999999999E-2</v>
      </c>
      <c r="P116" s="25">
        <f>IF((H116&lt;=5),VLOOKUP(D116,'building rates'!$B$30:$H$54,2,FALSE),IF(AND(H116&gt;5,H116&lt;=12),VLOOKUP(D116,'building rates'!$B$30:$H$54,3,FALSE),IF(AND(H116&gt;12,H116&lt;=15),VLOOKUP(D116,'building rates'!$B$30:$H$54,4,FALSE),IF(AND(H116&gt;15,H116&lt;=20),VLOOKUP(D116,'building rates'!$B$30:$H$54,5,FALSE),IF(AND(H116&gt;20,H116&lt;=25),VLOOKUP(D116,'building rates'!$B$30:$H$54,6,FALSE),IF(H116&gt;25,VLOOKUP(D116,'building rates'!$B$30:$H$54,7,FALSE),0))))))</f>
        <v>400</v>
      </c>
      <c r="Q116" s="14">
        <f t="shared" si="11"/>
        <v>1936800</v>
      </c>
      <c r="R116" s="14">
        <f t="shared" si="12"/>
        <v>435780</v>
      </c>
      <c r="S116" s="14">
        <f t="shared" si="16"/>
        <v>1501020</v>
      </c>
      <c r="T116" s="15">
        <v>0.2</v>
      </c>
      <c r="U116" s="14">
        <f t="shared" si="17"/>
        <v>1200816</v>
      </c>
      <c r="V116" s="3">
        <f t="shared" si="18"/>
        <v>248</v>
      </c>
    </row>
    <row r="117" spans="1:22" ht="30" customHeight="1" x14ac:dyDescent="0.25">
      <c r="A117" s="7">
        <v>112</v>
      </c>
      <c r="B117" s="27" t="str">
        <f>'BD SHEET FROM COMPANY'!B116</f>
        <v>E.T. PLANT (EFFLUENT TREATMENT PLANT)</v>
      </c>
      <c r="C117" s="7">
        <v>0</v>
      </c>
      <c r="D117" s="8" t="s">
        <v>179</v>
      </c>
      <c r="E117" s="9">
        <f>'BD SHEET FROM COMPANY'!K116</f>
        <v>3766</v>
      </c>
      <c r="F117" s="9"/>
      <c r="G117" s="95">
        <f t="shared" si="13"/>
        <v>349.8731872276777</v>
      </c>
      <c r="H117" s="10">
        <f>'BD SHEET FROM COMPANY'!E116</f>
        <v>0</v>
      </c>
      <c r="I117" s="30">
        <f t="shared" si="14"/>
        <v>0</v>
      </c>
      <c r="J117" s="31">
        <f>'BD SHEET FROM COMPANY'!F116</f>
        <v>1991</v>
      </c>
      <c r="K117" s="11">
        <v>2022</v>
      </c>
      <c r="L117" s="10">
        <f t="shared" si="15"/>
        <v>31</v>
      </c>
      <c r="M117" s="11">
        <v>60</v>
      </c>
      <c r="N117" s="12">
        <v>0.1</v>
      </c>
      <c r="O117" s="13">
        <v>0</v>
      </c>
      <c r="P117" s="25">
        <f>IF((H117&lt;=5),VLOOKUP(D117,'building rates'!$B$30:$H$54,2,FALSE),IF(AND(H117&gt;5,H117&lt;=12),VLOOKUP(D117,'building rates'!$B$30:$H$54,3,FALSE),IF(AND(H117&gt;12,H117&lt;=15),VLOOKUP(D117,'building rates'!$B$30:$H$54,4,FALSE),IF(AND(H117&gt;15,H117&lt;=20),VLOOKUP(D117,'building rates'!$B$30:$H$54,5,FALSE),IF(AND(H117&gt;20,H117&lt;=25),VLOOKUP(D117,'building rates'!$B$30:$H$54,6,FALSE),IF(H117&gt;25,VLOOKUP(D117,'building rates'!$B$30:$H$54,7,FALSE),0))))))</f>
        <v>100</v>
      </c>
      <c r="Q117" s="14">
        <f t="shared" si="11"/>
        <v>376600</v>
      </c>
      <c r="R117" s="14">
        <f t="shared" si="12"/>
        <v>0</v>
      </c>
      <c r="S117" s="14">
        <f t="shared" si="16"/>
        <v>376600</v>
      </c>
      <c r="T117" s="15">
        <v>0.2</v>
      </c>
      <c r="U117" s="14">
        <f t="shared" si="17"/>
        <v>301280</v>
      </c>
      <c r="V117" s="3">
        <f t="shared" si="18"/>
        <v>80</v>
      </c>
    </row>
    <row r="118" spans="1:22" ht="30" customHeight="1" x14ac:dyDescent="0.25">
      <c r="A118" s="7">
        <v>113</v>
      </c>
      <c r="B118" s="27" t="str">
        <f>'BD SHEET FROM COMPANY'!B117</f>
        <v>S.T. PLANT (SEWER TREATMENT PLANT)</v>
      </c>
      <c r="C118" s="7">
        <v>0</v>
      </c>
      <c r="D118" s="8" t="s">
        <v>180</v>
      </c>
      <c r="E118" s="9">
        <f>'BD SHEET FROM COMPANY'!K117</f>
        <v>2959</v>
      </c>
      <c r="F118" s="9"/>
      <c r="G118" s="95">
        <f t="shared" si="13"/>
        <v>274.90036139317533</v>
      </c>
      <c r="H118" s="10">
        <f>'BD SHEET FROM COMPANY'!E117</f>
        <v>0</v>
      </c>
      <c r="I118" s="30">
        <f t="shared" si="14"/>
        <v>0</v>
      </c>
      <c r="J118" s="31">
        <f>'BD SHEET FROM COMPANY'!F117</f>
        <v>2014</v>
      </c>
      <c r="K118" s="11">
        <v>2022</v>
      </c>
      <c r="L118" s="10">
        <f t="shared" si="15"/>
        <v>8</v>
      </c>
      <c r="M118" s="11">
        <v>60</v>
      </c>
      <c r="N118" s="12">
        <v>0.1</v>
      </c>
      <c r="O118" s="13">
        <v>0</v>
      </c>
      <c r="P118" s="25">
        <f>IF((H118&lt;=5),VLOOKUP(D118,'building rates'!$B$30:$H$54,2,FALSE),IF(AND(H118&gt;5,H118&lt;=12),VLOOKUP(D118,'building rates'!$B$30:$H$54,3,FALSE),IF(AND(H118&gt;12,H118&lt;=15),VLOOKUP(D118,'building rates'!$B$30:$H$54,4,FALSE),IF(AND(H118&gt;15,H118&lt;=20),VLOOKUP(D118,'building rates'!$B$30:$H$54,5,FALSE),IF(AND(H118&gt;20,H118&lt;=25),VLOOKUP(D118,'building rates'!$B$30:$H$54,6,FALSE),IF(H118&gt;25,VLOOKUP(D118,'building rates'!$B$30:$H$54,7,FALSE),0))))))</f>
        <v>100</v>
      </c>
      <c r="Q118" s="14">
        <f t="shared" si="11"/>
        <v>295900</v>
      </c>
      <c r="R118" s="14">
        <f t="shared" si="12"/>
        <v>0</v>
      </c>
      <c r="S118" s="14">
        <f t="shared" si="16"/>
        <v>295900</v>
      </c>
      <c r="T118" s="15">
        <v>0.2</v>
      </c>
      <c r="U118" s="14">
        <f t="shared" si="17"/>
        <v>236720</v>
      </c>
      <c r="V118" s="3">
        <f t="shared" si="18"/>
        <v>80</v>
      </c>
    </row>
    <row r="119" spans="1:22" ht="45" customHeight="1" x14ac:dyDescent="0.25">
      <c r="A119" s="7">
        <v>114</v>
      </c>
      <c r="B119" s="27" t="str">
        <f>'BD SHEET FROM COMPANY'!B118</f>
        <v>32 TPH Boiler (MEZZ. FLOOR)</v>
      </c>
      <c r="C119" s="7">
        <v>1</v>
      </c>
      <c r="D119" s="8" t="s">
        <v>158</v>
      </c>
      <c r="E119" s="9">
        <f>'BD SHEET FROM COMPANY'!K118</f>
        <v>1614</v>
      </c>
      <c r="F119" s="9"/>
      <c r="G119" s="95">
        <f t="shared" si="13"/>
        <v>149.94565166900475</v>
      </c>
      <c r="H119" s="10">
        <f>'BD SHEET FROM COMPANY'!E118</f>
        <v>13.311999999999999</v>
      </c>
      <c r="I119" s="30">
        <f t="shared" si="14"/>
        <v>4.0572996037793354</v>
      </c>
      <c r="J119" s="31">
        <f>'BD SHEET FROM COMPANY'!F118</f>
        <v>2019</v>
      </c>
      <c r="K119" s="11">
        <v>2022</v>
      </c>
      <c r="L119" s="10">
        <f t="shared" si="15"/>
        <v>3</v>
      </c>
      <c r="M119" s="11">
        <v>60</v>
      </c>
      <c r="N119" s="12">
        <v>0.1</v>
      </c>
      <c r="O119" s="13">
        <f t="shared" si="10"/>
        <v>1.5000000000000001E-2</v>
      </c>
      <c r="P119" s="25">
        <f>IF((H119&lt;=5),VLOOKUP(D119,'building rates'!$B$30:$H$54,2,FALSE),IF(AND(H119&gt;5,H119&lt;=12),VLOOKUP(D119,'building rates'!$B$30:$H$54,3,FALSE),IF(AND(H119&gt;12,H119&lt;=15),VLOOKUP(D119,'building rates'!$B$30:$H$54,4,FALSE),IF(AND(H119&gt;15,H119&lt;=20),VLOOKUP(D119,'building rates'!$B$30:$H$54,5,FALSE),IF(AND(H119&gt;20,H119&lt;=25),VLOOKUP(D119,'building rates'!$B$30:$H$54,6,FALSE),IF(H119&gt;25,VLOOKUP(D119,'building rates'!$B$30:$H$54,7,FALSE),0))))))</f>
        <v>1200</v>
      </c>
      <c r="Q119" s="14">
        <f t="shared" si="11"/>
        <v>1936800</v>
      </c>
      <c r="R119" s="14">
        <f t="shared" si="12"/>
        <v>87156.000000000015</v>
      </c>
      <c r="S119" s="14">
        <f t="shared" si="16"/>
        <v>1849644</v>
      </c>
      <c r="T119" s="15">
        <v>0.2</v>
      </c>
      <c r="U119" s="14">
        <f t="shared" si="17"/>
        <v>1479715.2000000002</v>
      </c>
      <c r="V119" s="3">
        <f t="shared" si="18"/>
        <v>916.80000000000007</v>
      </c>
    </row>
    <row r="120" spans="1:22" ht="45" customHeight="1" x14ac:dyDescent="0.25">
      <c r="A120" s="7">
        <v>115</v>
      </c>
      <c r="B120" s="27" t="str">
        <f>'BD SHEET FROM COMPANY'!B119</f>
        <v>32 TPH Boiler (RCC ROOF SLAB)</v>
      </c>
      <c r="C120" s="7">
        <v>1</v>
      </c>
      <c r="D120" s="8" t="s">
        <v>158</v>
      </c>
      <c r="E120" s="9">
        <f>'BD SHEET FROM COMPANY'!K119</f>
        <v>1614</v>
      </c>
      <c r="F120" s="9"/>
      <c r="G120" s="95">
        <f t="shared" si="13"/>
        <v>149.94565166900475</v>
      </c>
      <c r="H120" s="10">
        <f>'BD SHEET FROM COMPANY'!E119</f>
        <v>21.631999999999998</v>
      </c>
      <c r="I120" s="30">
        <f t="shared" si="14"/>
        <v>6.5931118561414195</v>
      </c>
      <c r="J120" s="31">
        <f>'BD SHEET FROM COMPANY'!F119</f>
        <v>2019</v>
      </c>
      <c r="K120" s="11">
        <v>2022</v>
      </c>
      <c r="L120" s="10">
        <f t="shared" si="15"/>
        <v>3</v>
      </c>
      <c r="M120" s="11">
        <v>60</v>
      </c>
      <c r="N120" s="12">
        <v>0.1</v>
      </c>
      <c r="O120" s="13">
        <f t="shared" si="10"/>
        <v>1.5000000000000001E-2</v>
      </c>
      <c r="P120" s="25">
        <f>IF((H120&lt;=5),VLOOKUP(D120,'building rates'!$B$30:$H$54,2,FALSE),IF(AND(H120&gt;5,H120&lt;=12),VLOOKUP(D120,'building rates'!$B$30:$H$54,3,FALSE),IF(AND(H120&gt;12,H120&lt;=15),VLOOKUP(D120,'building rates'!$B$30:$H$54,4,FALSE),IF(AND(H120&gt;15,H120&lt;=20),VLOOKUP(D120,'building rates'!$B$30:$H$54,5,FALSE),IF(AND(H120&gt;20,H120&lt;=25),VLOOKUP(D120,'building rates'!$B$30:$H$54,6,FALSE),IF(H120&gt;25,VLOOKUP(D120,'building rates'!$B$30:$H$54,7,FALSE),0))))))</f>
        <v>1500</v>
      </c>
      <c r="Q120" s="14">
        <f t="shared" si="11"/>
        <v>2421000</v>
      </c>
      <c r="R120" s="14">
        <f t="shared" si="12"/>
        <v>108945</v>
      </c>
      <c r="S120" s="14">
        <f t="shared" si="16"/>
        <v>2312055</v>
      </c>
      <c r="T120" s="15">
        <v>0.2</v>
      </c>
      <c r="U120" s="14">
        <f t="shared" si="17"/>
        <v>1849644</v>
      </c>
      <c r="V120" s="3">
        <f t="shared" si="18"/>
        <v>1146</v>
      </c>
    </row>
    <row r="121" spans="1:22" ht="60" customHeight="1" x14ac:dyDescent="0.25">
      <c r="A121" s="7">
        <v>116</v>
      </c>
      <c r="B121" s="27" t="str">
        <f>'BD SHEET FROM COMPANY'!B120</f>
        <v xml:space="preserve">BIO MASS SHED </v>
      </c>
      <c r="C121" s="7">
        <v>1</v>
      </c>
      <c r="D121" s="8" t="s">
        <v>181</v>
      </c>
      <c r="E121" s="9">
        <f>'BD SHEET FROM COMPANY'!K120</f>
        <v>19368</v>
      </c>
      <c r="F121" s="9"/>
      <c r="G121" s="95">
        <f t="shared" si="13"/>
        <v>1799.3478200280567</v>
      </c>
      <c r="H121" s="10">
        <f>'BD SHEET FROM COMPANY'!E120</f>
        <v>28.288</v>
      </c>
      <c r="I121" s="30">
        <f t="shared" si="14"/>
        <v>8.6217616580310885</v>
      </c>
      <c r="J121" s="31">
        <f>'BD SHEET FROM COMPANY'!F120</f>
        <v>2022</v>
      </c>
      <c r="K121" s="11">
        <v>2022</v>
      </c>
      <c r="L121" s="10">
        <f t="shared" si="15"/>
        <v>0</v>
      </c>
      <c r="M121" s="11">
        <v>40</v>
      </c>
      <c r="N121" s="12">
        <v>0.1</v>
      </c>
      <c r="O121" s="13">
        <f t="shared" si="10"/>
        <v>2.2499999999999999E-2</v>
      </c>
      <c r="P121" s="25">
        <f>IF((H121&lt;=5),VLOOKUP(D121,'building rates'!$B$30:$H$54,2,FALSE),IF(AND(H121&gt;5,H121&lt;=12),VLOOKUP(D121,'building rates'!$B$30:$H$54,3,FALSE),IF(AND(H121&gt;12,H121&lt;=15),VLOOKUP(D121,'building rates'!$B$30:$H$54,4,FALSE),IF(AND(H121&gt;15,H121&lt;=20),VLOOKUP(D121,'building rates'!$B$30:$H$54,5,FALSE),IF(AND(H121&gt;20,H121&lt;=25),VLOOKUP(D121,'building rates'!$B$30:$H$54,6,FALSE),IF(H121&gt;25,VLOOKUP(D121,'building rates'!$B$30:$H$54,7,FALSE),0))))))</f>
        <v>1000</v>
      </c>
      <c r="Q121" s="14">
        <f t="shared" si="11"/>
        <v>19368000</v>
      </c>
      <c r="R121" s="14">
        <f t="shared" si="12"/>
        <v>0</v>
      </c>
      <c r="S121" s="14">
        <f t="shared" ref="S121:S125" si="19">MAX(Q121-R121,0)</f>
        <v>19368000</v>
      </c>
      <c r="T121" s="15">
        <v>0.1</v>
      </c>
      <c r="U121" s="14">
        <f t="shared" ref="U121:U125" si="20">IF(S121&gt;N121*Q121,S121*(1-T121),Q121*N121)</f>
        <v>17431200</v>
      </c>
      <c r="V121" s="3">
        <f t="shared" si="18"/>
        <v>900</v>
      </c>
    </row>
    <row r="122" spans="1:22" ht="60" customHeight="1" x14ac:dyDescent="0.25">
      <c r="A122" s="7">
        <v>117</v>
      </c>
      <c r="B122" s="27" t="str">
        <f>'BD SHEET FROM COMPANY'!B121</f>
        <v xml:space="preserve">COAL STORAGE SHED </v>
      </c>
      <c r="C122" s="7">
        <v>1</v>
      </c>
      <c r="D122" s="8" t="s">
        <v>181</v>
      </c>
      <c r="E122" s="9">
        <f>'BD SHEET FROM COMPANY'!K121</f>
        <v>5874.96</v>
      </c>
      <c r="F122" s="9"/>
      <c r="G122" s="95">
        <f t="shared" si="13"/>
        <v>545.80217207517728</v>
      </c>
      <c r="H122" s="10">
        <f>'BD SHEET FROM COMPANY'!E121</f>
        <v>28.288</v>
      </c>
      <c r="I122" s="30">
        <f t="shared" si="14"/>
        <v>8.6217616580310885</v>
      </c>
      <c r="J122" s="31">
        <f>'BD SHEET FROM COMPANY'!F121</f>
        <v>2008</v>
      </c>
      <c r="K122" s="11">
        <v>2022</v>
      </c>
      <c r="L122" s="10">
        <f t="shared" si="15"/>
        <v>14</v>
      </c>
      <c r="M122" s="11">
        <v>40</v>
      </c>
      <c r="N122" s="12">
        <v>0.1</v>
      </c>
      <c r="O122" s="13">
        <f t="shared" si="10"/>
        <v>2.2499999999999999E-2</v>
      </c>
      <c r="P122" s="25">
        <f>IF((H122&lt;=5),VLOOKUP(D122,'building rates'!$B$30:$H$54,2,FALSE),IF(AND(H122&gt;5,H122&lt;=12),VLOOKUP(D122,'building rates'!$B$30:$H$54,3,FALSE),IF(AND(H122&gt;12,H122&lt;=15),VLOOKUP(D122,'building rates'!$B$30:$H$54,4,FALSE),IF(AND(H122&gt;15,H122&lt;=20),VLOOKUP(D122,'building rates'!$B$30:$H$54,5,FALSE),IF(AND(H122&gt;20,H122&lt;=25),VLOOKUP(D122,'building rates'!$B$30:$H$54,6,FALSE),IF(H122&gt;25,VLOOKUP(D122,'building rates'!$B$30:$H$54,7,FALSE),0))))))</f>
        <v>1000</v>
      </c>
      <c r="Q122" s="14">
        <f t="shared" si="11"/>
        <v>5874960</v>
      </c>
      <c r="R122" s="14">
        <f t="shared" si="12"/>
        <v>1850612.4000000001</v>
      </c>
      <c r="S122" s="14">
        <f t="shared" si="19"/>
        <v>4024347.5999999996</v>
      </c>
      <c r="T122" s="15">
        <v>0.2</v>
      </c>
      <c r="U122" s="14">
        <f t="shared" si="20"/>
        <v>3219478.08</v>
      </c>
      <c r="V122" s="3">
        <f t="shared" si="18"/>
        <v>548</v>
      </c>
    </row>
    <row r="123" spans="1:22" ht="60" customHeight="1" x14ac:dyDescent="0.25">
      <c r="A123" s="7">
        <v>118</v>
      </c>
      <c r="B123" s="27" t="str">
        <f>'BD SHEET FROM COMPANY'!B122</f>
        <v>ELECTRICAL WORK SHOP</v>
      </c>
      <c r="C123" s="7">
        <v>1</v>
      </c>
      <c r="D123" s="8" t="s">
        <v>177</v>
      </c>
      <c r="E123" s="9">
        <f>'BD SHEET FROM COMPANY'!K122</f>
        <v>2485.56</v>
      </c>
      <c r="F123" s="9"/>
      <c r="G123" s="95">
        <f t="shared" si="13"/>
        <v>230.91630357026727</v>
      </c>
      <c r="H123" s="10">
        <f>'BD SHEET FROM COMPANY'!E122</f>
        <v>29.951999999999998</v>
      </c>
      <c r="I123" s="30">
        <f t="shared" si="14"/>
        <v>9.1289241085035044</v>
      </c>
      <c r="J123" s="31">
        <f>'BD SHEET FROM COMPANY'!F122</f>
        <v>1991</v>
      </c>
      <c r="K123" s="11">
        <v>2022</v>
      </c>
      <c r="L123" s="10">
        <f t="shared" si="15"/>
        <v>31</v>
      </c>
      <c r="M123" s="11">
        <v>40</v>
      </c>
      <c r="N123" s="12">
        <v>0.1</v>
      </c>
      <c r="O123" s="13">
        <f t="shared" si="10"/>
        <v>2.2499999999999999E-2</v>
      </c>
      <c r="P123" s="25">
        <f>IF((H123&lt;=5),VLOOKUP(D123,'building rates'!$B$30:$H$54,2,FALSE),IF(AND(H123&gt;5,H123&lt;=12),VLOOKUP(D123,'building rates'!$B$30:$H$54,3,FALSE),IF(AND(H123&gt;12,H123&lt;=15),VLOOKUP(D123,'building rates'!$B$30:$H$54,4,FALSE),IF(AND(H123&gt;15,H123&lt;=20),VLOOKUP(D123,'building rates'!$B$30:$H$54,5,FALSE),IF(AND(H123&gt;20,H123&lt;=25),VLOOKUP(D123,'building rates'!$B$30:$H$54,6,FALSE),IF(H123&gt;25,VLOOKUP(D123,'building rates'!$B$30:$H$54,7,FALSE),0))))))</f>
        <v>1000</v>
      </c>
      <c r="Q123" s="14">
        <f t="shared" si="11"/>
        <v>2485560</v>
      </c>
      <c r="R123" s="14">
        <f t="shared" si="12"/>
        <v>1733678.0999999999</v>
      </c>
      <c r="S123" s="14">
        <f t="shared" si="19"/>
        <v>751881.90000000014</v>
      </c>
      <c r="T123" s="15">
        <v>0.2</v>
      </c>
      <c r="U123" s="14">
        <f t="shared" si="20"/>
        <v>601505.52000000014</v>
      </c>
      <c r="V123" s="3">
        <f t="shared" si="18"/>
        <v>242.00000000000006</v>
      </c>
    </row>
    <row r="124" spans="1:22" ht="60" customHeight="1" x14ac:dyDescent="0.25">
      <c r="A124" s="7">
        <v>119</v>
      </c>
      <c r="B124" s="27" t="str">
        <f>'BD SHEET FROM COMPANY'!B123</f>
        <v>MOULD SHOP SHED</v>
      </c>
      <c r="C124" s="7">
        <v>1</v>
      </c>
      <c r="D124" s="8" t="s">
        <v>177</v>
      </c>
      <c r="E124" s="9">
        <f>'BD SHEET FROM COMPANY'!K123</f>
        <v>2485.56</v>
      </c>
      <c r="F124" s="9"/>
      <c r="G124" s="95">
        <f t="shared" si="13"/>
        <v>230.91630357026727</v>
      </c>
      <c r="H124" s="10">
        <f>'BD SHEET FROM COMPANY'!E123</f>
        <v>29.951999999999998</v>
      </c>
      <c r="I124" s="30">
        <f t="shared" si="14"/>
        <v>9.1289241085035044</v>
      </c>
      <c r="J124" s="31">
        <f>'BD SHEET FROM COMPANY'!F123</f>
        <v>1991</v>
      </c>
      <c r="K124" s="11">
        <v>2022</v>
      </c>
      <c r="L124" s="10">
        <f t="shared" si="15"/>
        <v>31</v>
      </c>
      <c r="M124" s="11">
        <v>40</v>
      </c>
      <c r="N124" s="12">
        <v>0.1</v>
      </c>
      <c r="O124" s="13">
        <f t="shared" si="10"/>
        <v>2.2499999999999999E-2</v>
      </c>
      <c r="P124" s="25">
        <f>IF((H124&lt;=5),VLOOKUP(D124,'building rates'!$B$30:$H$54,2,FALSE),IF(AND(H124&gt;5,H124&lt;=12),VLOOKUP(D124,'building rates'!$B$30:$H$54,3,FALSE),IF(AND(H124&gt;12,H124&lt;=15),VLOOKUP(D124,'building rates'!$B$30:$H$54,4,FALSE),IF(AND(H124&gt;15,H124&lt;=20),VLOOKUP(D124,'building rates'!$B$30:$H$54,5,FALSE),IF(AND(H124&gt;20,H124&lt;=25),VLOOKUP(D124,'building rates'!$B$30:$H$54,6,FALSE),IF(H124&gt;25,VLOOKUP(D124,'building rates'!$B$30:$H$54,7,FALSE),0))))))</f>
        <v>1000</v>
      </c>
      <c r="Q124" s="14">
        <f t="shared" si="11"/>
        <v>2485560</v>
      </c>
      <c r="R124" s="14">
        <f t="shared" si="12"/>
        <v>1733678.0999999999</v>
      </c>
      <c r="S124" s="14">
        <f t="shared" si="19"/>
        <v>751881.90000000014</v>
      </c>
      <c r="T124" s="15">
        <v>0.2</v>
      </c>
      <c r="U124" s="14">
        <f t="shared" si="20"/>
        <v>601505.52000000014</v>
      </c>
      <c r="V124" s="3">
        <f t="shared" si="18"/>
        <v>242.00000000000006</v>
      </c>
    </row>
    <row r="125" spans="1:22" ht="60" customHeight="1" x14ac:dyDescent="0.25">
      <c r="A125" s="7">
        <v>120</v>
      </c>
      <c r="B125" s="27" t="str">
        <f>'BD SHEET FROM COMPANY'!B124</f>
        <v xml:space="preserve">MECHANICAL WORK SHOP </v>
      </c>
      <c r="C125" s="7">
        <v>1</v>
      </c>
      <c r="D125" s="8" t="s">
        <v>175</v>
      </c>
      <c r="E125" s="9">
        <f>'BD SHEET FROM COMPANY'!K124</f>
        <v>2711.52</v>
      </c>
      <c r="F125" s="9"/>
      <c r="G125" s="95">
        <f t="shared" si="13"/>
        <v>251.90869480392794</v>
      </c>
      <c r="H125" s="10">
        <f>'BD SHEET FROM COMPANY'!E124</f>
        <v>13.311999999999999</v>
      </c>
      <c r="I125" s="30">
        <f t="shared" si="14"/>
        <v>4.0572996037793354</v>
      </c>
      <c r="J125" s="31">
        <f>'BD SHEET FROM COMPANY'!F124</f>
        <v>2002</v>
      </c>
      <c r="K125" s="11">
        <v>2022</v>
      </c>
      <c r="L125" s="10">
        <f t="shared" si="15"/>
        <v>20</v>
      </c>
      <c r="M125" s="11">
        <v>40</v>
      </c>
      <c r="N125" s="12">
        <v>0.1</v>
      </c>
      <c r="O125" s="13">
        <f t="shared" si="10"/>
        <v>2.2499999999999999E-2</v>
      </c>
      <c r="P125" s="25">
        <f>IF((H125&lt;=5),VLOOKUP(D125,'building rates'!$B$30:$H$54,2,FALSE),IF(AND(H125&gt;5,H125&lt;=12),VLOOKUP(D125,'building rates'!$B$30:$H$54,3,FALSE),IF(AND(H125&gt;12,H125&lt;=15),VLOOKUP(D125,'building rates'!$B$30:$H$54,4,FALSE),IF(AND(H125&gt;15,H125&lt;=20),VLOOKUP(D125,'building rates'!$B$30:$H$54,5,FALSE),IF(AND(H125&gt;20,H125&lt;=25),VLOOKUP(D125,'building rates'!$B$30:$H$54,6,FALSE),IF(H125&gt;25,VLOOKUP(D125,'building rates'!$B$30:$H$54,7,FALSE),0))))))</f>
        <v>400</v>
      </c>
      <c r="Q125" s="14">
        <f t="shared" si="11"/>
        <v>1084608</v>
      </c>
      <c r="R125" s="14">
        <f t="shared" si="12"/>
        <v>488073.6</v>
      </c>
      <c r="S125" s="14">
        <f t="shared" si="19"/>
        <v>596534.4</v>
      </c>
      <c r="T125" s="15">
        <v>0.2</v>
      </c>
      <c r="U125" s="14">
        <f t="shared" si="20"/>
        <v>477227.52000000002</v>
      </c>
      <c r="V125" s="3">
        <f t="shared" si="18"/>
        <v>176</v>
      </c>
    </row>
    <row r="126" spans="1:22" ht="15" customHeight="1" x14ac:dyDescent="0.25">
      <c r="A126" s="106" t="s">
        <v>5</v>
      </c>
      <c r="B126" s="106"/>
      <c r="C126" s="106"/>
      <c r="D126" s="106"/>
      <c r="E126" s="17">
        <f>SUM(E6:E125)</f>
        <v>1240048.0528716801</v>
      </c>
      <c r="F126" s="17"/>
      <c r="G126" s="17">
        <f>SUM(G6:G125)</f>
        <v>115204.34534617382</v>
      </c>
      <c r="H126" s="106"/>
      <c r="I126" s="106"/>
      <c r="J126" s="106"/>
      <c r="K126" s="106"/>
      <c r="L126" s="106"/>
      <c r="M126" s="106"/>
      <c r="N126" s="106"/>
      <c r="O126" s="106"/>
      <c r="P126" s="106"/>
      <c r="Q126" s="18">
        <f>SUM(Q6:Q52)</f>
        <v>1105927950.0800002</v>
      </c>
      <c r="R126" s="18"/>
      <c r="S126" s="18"/>
      <c r="T126" s="18"/>
      <c r="U126" s="32">
        <f>SUM(U6:U125)</f>
        <v>605838777.54739583</v>
      </c>
    </row>
    <row r="127" spans="1:22" ht="15" customHeight="1" x14ac:dyDescent="0.25">
      <c r="A127" s="102" t="s">
        <v>26</v>
      </c>
      <c r="B127" s="102"/>
      <c r="C127" s="102"/>
      <c r="D127" s="102"/>
      <c r="E127" s="102"/>
      <c r="F127" s="102"/>
      <c r="G127" s="102"/>
      <c r="H127" s="102"/>
      <c r="I127" s="102"/>
      <c r="J127" s="102"/>
      <c r="K127" s="102"/>
      <c r="L127" s="102"/>
      <c r="M127" s="102"/>
      <c r="N127" s="102"/>
      <c r="O127" s="102"/>
      <c r="P127" s="102"/>
      <c r="Q127" s="102"/>
      <c r="R127" s="102"/>
      <c r="S127" s="102"/>
      <c r="T127" s="102"/>
      <c r="U127" s="102"/>
    </row>
    <row r="128" spans="1:22" ht="15" customHeight="1" x14ac:dyDescent="0.25">
      <c r="A128" s="102" t="s">
        <v>39</v>
      </c>
      <c r="B128" s="102"/>
      <c r="C128" s="102"/>
      <c r="D128" s="102"/>
      <c r="E128" s="102"/>
      <c r="F128" s="102"/>
      <c r="G128" s="102"/>
      <c r="H128" s="102"/>
      <c r="I128" s="102"/>
      <c r="J128" s="102"/>
      <c r="K128" s="102"/>
      <c r="L128" s="102"/>
      <c r="M128" s="102"/>
      <c r="N128" s="102"/>
      <c r="O128" s="102"/>
      <c r="P128" s="102"/>
      <c r="Q128" s="102"/>
      <c r="R128" s="102"/>
      <c r="S128" s="102"/>
      <c r="T128" s="102"/>
      <c r="U128" s="102"/>
    </row>
    <row r="129" spans="1:21" ht="15" customHeight="1" x14ac:dyDescent="0.25">
      <c r="A129" s="102" t="s">
        <v>27</v>
      </c>
      <c r="B129" s="102"/>
      <c r="C129" s="102"/>
      <c r="D129" s="102"/>
      <c r="E129" s="102"/>
      <c r="F129" s="102"/>
      <c r="G129" s="102"/>
      <c r="H129" s="102"/>
      <c r="I129" s="102"/>
      <c r="J129" s="102"/>
      <c r="K129" s="102"/>
      <c r="L129" s="102"/>
      <c r="M129" s="102"/>
      <c r="N129" s="102"/>
      <c r="O129" s="102"/>
      <c r="P129" s="102"/>
      <c r="Q129" s="102"/>
      <c r="R129" s="102"/>
      <c r="S129" s="102"/>
      <c r="T129" s="102"/>
      <c r="U129" s="102"/>
    </row>
    <row r="130" spans="1:21" ht="15" customHeight="1" x14ac:dyDescent="0.25">
      <c r="A130" s="102" t="s">
        <v>28</v>
      </c>
      <c r="B130" s="102"/>
      <c r="C130" s="102"/>
      <c r="D130" s="102"/>
      <c r="E130" s="102"/>
      <c r="F130" s="102"/>
      <c r="G130" s="102"/>
      <c r="H130" s="102"/>
      <c r="I130" s="102"/>
      <c r="J130" s="102"/>
      <c r="K130" s="102"/>
      <c r="L130" s="102"/>
      <c r="M130" s="102"/>
      <c r="N130" s="102"/>
      <c r="O130" s="102"/>
      <c r="P130" s="102"/>
      <c r="Q130" s="102"/>
      <c r="R130" s="102"/>
      <c r="S130" s="102"/>
      <c r="T130" s="102"/>
      <c r="U130" s="102"/>
    </row>
    <row r="131" spans="1:21" ht="15" customHeight="1" x14ac:dyDescent="0.25">
      <c r="A131" s="102" t="s">
        <v>29</v>
      </c>
      <c r="B131" s="102"/>
      <c r="C131" s="102"/>
      <c r="D131" s="102"/>
      <c r="E131" s="102"/>
      <c r="F131" s="102"/>
      <c r="G131" s="102"/>
      <c r="H131" s="102"/>
      <c r="I131" s="102"/>
      <c r="J131" s="102"/>
      <c r="K131" s="102"/>
      <c r="L131" s="102"/>
      <c r="M131" s="102"/>
      <c r="N131" s="102"/>
      <c r="O131" s="102"/>
      <c r="P131" s="102"/>
      <c r="Q131" s="102"/>
      <c r="R131" s="102"/>
      <c r="S131" s="102"/>
      <c r="T131" s="102"/>
      <c r="U131" s="102"/>
    </row>
    <row r="132" spans="1:21" ht="15" customHeight="1" x14ac:dyDescent="0.25">
      <c r="A132" s="102" t="s">
        <v>31</v>
      </c>
      <c r="B132" s="102"/>
      <c r="C132" s="102"/>
      <c r="D132" s="102"/>
      <c r="E132" s="102"/>
      <c r="F132" s="102"/>
      <c r="G132" s="102"/>
      <c r="H132" s="102"/>
      <c r="I132" s="102"/>
      <c r="J132" s="102"/>
      <c r="K132" s="102"/>
      <c r="L132" s="102"/>
      <c r="M132" s="102"/>
      <c r="N132" s="102"/>
      <c r="O132" s="102"/>
      <c r="P132" s="102"/>
      <c r="Q132" s="102"/>
      <c r="R132" s="102"/>
      <c r="S132" s="102"/>
      <c r="T132" s="102"/>
      <c r="U132" s="102"/>
    </row>
    <row r="135" spans="1:21" x14ac:dyDescent="0.25">
      <c r="B135" s="103" t="s">
        <v>36</v>
      </c>
      <c r="C135" s="103"/>
      <c r="D135" s="103"/>
      <c r="E135" s="103"/>
      <c r="F135" s="26"/>
      <c r="Q135" s="20"/>
      <c r="U135" s="19"/>
    </row>
    <row r="136" spans="1:21" x14ac:dyDescent="0.25">
      <c r="B136" t="s">
        <v>0</v>
      </c>
      <c r="D136" t="s">
        <v>32</v>
      </c>
      <c r="E136">
        <v>67274.375</v>
      </c>
      <c r="G136">
        <f>E136/10.7639</f>
        <v>6250</v>
      </c>
      <c r="H136" t="s">
        <v>37</v>
      </c>
    </row>
    <row r="137" spans="1:21" x14ac:dyDescent="0.25">
      <c r="B137" t="s">
        <v>1</v>
      </c>
      <c r="D137" t="s">
        <v>33</v>
      </c>
      <c r="E137">
        <f>E136/8</f>
        <v>8409.296875</v>
      </c>
      <c r="P137" t="s">
        <v>38</v>
      </c>
      <c r="Q137" s="4">
        <v>1034058218.0338244</v>
      </c>
      <c r="U137" s="1"/>
    </row>
    <row r="138" spans="1:21" x14ac:dyDescent="0.25">
      <c r="B138" t="s">
        <v>2</v>
      </c>
      <c r="D138" t="s">
        <v>34</v>
      </c>
      <c r="E138">
        <f>E137/3.28</f>
        <v>2563.8100228658536</v>
      </c>
    </row>
    <row r="139" spans="1:21" x14ac:dyDescent="0.25">
      <c r="D139" t="s">
        <v>35</v>
      </c>
      <c r="E139" s="4">
        <f>E138*1500</f>
        <v>3845715.0342987804</v>
      </c>
      <c r="F139" s="4"/>
      <c r="Q139" s="1">
        <f>(U126-Q137)/Q137</f>
        <v>-0.41411540764179816</v>
      </c>
    </row>
  </sheetData>
  <autoFilter ref="A4:W13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autoFilter>
  <mergeCells count="11">
    <mergeCell ref="A128:U128"/>
    <mergeCell ref="E2:M2"/>
    <mergeCell ref="A4:U4"/>
    <mergeCell ref="A126:D126"/>
    <mergeCell ref="H126:P126"/>
    <mergeCell ref="A127:U127"/>
    <mergeCell ref="A129:U129"/>
    <mergeCell ref="A130:U130"/>
    <mergeCell ref="A131:U131"/>
    <mergeCell ref="A132:U132"/>
    <mergeCell ref="B135:E135"/>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50"/>
  <sheetViews>
    <sheetView topLeftCell="A119" zoomScale="70" zoomScaleNormal="70" workbookViewId="0">
      <selection activeCell="J150" sqref="J150"/>
    </sheetView>
  </sheetViews>
  <sheetFormatPr defaultRowHeight="15" x14ac:dyDescent="0.25"/>
  <cols>
    <col min="2" max="2" width="38.85546875" customWidth="1"/>
    <col min="3" max="3" width="11.5703125" bestFit="1" customWidth="1"/>
    <col min="4" max="4" width="35.85546875" customWidth="1"/>
    <col min="5" max="5" width="14.42578125" customWidth="1"/>
    <col min="6" max="6" width="14.42578125" hidden="1" customWidth="1"/>
    <col min="7" max="7" width="14.42578125" customWidth="1"/>
    <col min="8" max="8" width="8.85546875" customWidth="1"/>
    <col min="9" max="9" width="9.5703125" hidden="1" customWidth="1"/>
    <col min="10" max="10" width="9.140625" customWidth="1"/>
    <col min="11" max="11" width="9.140625" hidden="1" customWidth="1"/>
    <col min="12" max="12" width="14.85546875" customWidth="1"/>
    <col min="13" max="13" width="15.42578125" customWidth="1"/>
    <col min="14" max="14" width="9.140625" customWidth="1"/>
    <col min="15" max="15" width="12.28515625" bestFit="1" customWidth="1"/>
    <col min="16" max="16" width="16.42578125" customWidth="1"/>
    <col min="17" max="17" width="23.42578125" customWidth="1"/>
    <col min="18" max="18" width="20" hidden="1" customWidth="1"/>
    <col min="19" max="19" width="20.7109375" hidden="1" customWidth="1"/>
    <col min="20" max="20" width="15.7109375" hidden="1" customWidth="1"/>
    <col min="21" max="21" width="25.42578125" bestFit="1" customWidth="1"/>
    <col min="22" max="22" width="12" bestFit="1" customWidth="1"/>
    <col min="23" max="23" width="17.28515625" bestFit="1" customWidth="1"/>
    <col min="24" max="24" width="131.5703125" bestFit="1" customWidth="1"/>
  </cols>
  <sheetData>
    <row r="1" spans="1:24" x14ac:dyDescent="0.25"/>
    <row r="2" spans="1:24" x14ac:dyDescent="0.25">
      <c r="E2" s="104" t="s">
        <v>30</v>
      </c>
      <c r="F2" s="104"/>
      <c r="G2" s="104"/>
      <c r="H2" s="104"/>
      <c r="I2" s="104"/>
      <c r="J2" s="104"/>
      <c r="K2" s="104"/>
      <c r="L2" s="104"/>
      <c r="M2" s="104"/>
    </row>
    <row r="4" spans="1:24" ht="15.75" x14ac:dyDescent="0.25">
      <c r="A4" s="110" t="s">
        <v>182</v>
      </c>
      <c r="B4" s="111"/>
      <c r="C4" s="111"/>
      <c r="D4" s="111"/>
      <c r="E4" s="111"/>
      <c r="F4" s="111"/>
      <c r="G4" s="111"/>
      <c r="H4" s="111"/>
      <c r="I4" s="111"/>
      <c r="J4" s="111"/>
      <c r="K4" s="111"/>
      <c r="L4" s="111"/>
      <c r="M4" s="111"/>
      <c r="N4" s="111"/>
      <c r="O4" s="111"/>
      <c r="P4" s="111"/>
      <c r="Q4" s="111"/>
      <c r="R4" s="111"/>
      <c r="S4" s="111"/>
      <c r="T4" s="111"/>
      <c r="U4" s="112"/>
    </row>
    <row r="5" spans="1:24" ht="45" x14ac:dyDescent="0.25">
      <c r="A5" s="5" t="s">
        <v>8</v>
      </c>
      <c r="B5" s="97" t="s">
        <v>6</v>
      </c>
      <c r="C5" s="6" t="s">
        <v>157</v>
      </c>
      <c r="D5" s="6" t="s">
        <v>9</v>
      </c>
      <c r="E5" s="6" t="s">
        <v>10</v>
      </c>
      <c r="F5" s="6" t="s">
        <v>185</v>
      </c>
      <c r="G5" s="6" t="s">
        <v>11</v>
      </c>
      <c r="H5" s="6" t="s">
        <v>12</v>
      </c>
      <c r="I5" s="6" t="s">
        <v>13</v>
      </c>
      <c r="J5" s="6" t="s">
        <v>14</v>
      </c>
      <c r="K5" s="6" t="s">
        <v>15</v>
      </c>
      <c r="L5" s="6" t="s">
        <v>16</v>
      </c>
      <c r="M5" s="6" t="s">
        <v>17</v>
      </c>
      <c r="N5" s="6" t="s">
        <v>18</v>
      </c>
      <c r="O5" s="6" t="s">
        <v>19</v>
      </c>
      <c r="P5" s="72" t="s">
        <v>20</v>
      </c>
      <c r="Q5" s="6" t="s">
        <v>21</v>
      </c>
      <c r="R5" s="6" t="s">
        <v>22</v>
      </c>
      <c r="S5" s="6" t="s">
        <v>23</v>
      </c>
      <c r="T5" s="6" t="s">
        <v>24</v>
      </c>
      <c r="U5" s="6" t="s">
        <v>25</v>
      </c>
    </row>
    <row r="6" spans="1:24" ht="45" hidden="1" x14ac:dyDescent="0.25">
      <c r="A6" s="7">
        <v>1</v>
      </c>
      <c r="B6" s="98" t="str">
        <f>'BD SHEET FROM COMPANY'!B5</f>
        <v>RMS UNLOADING PLATFORM</v>
      </c>
      <c r="C6" s="28">
        <v>1</v>
      </c>
      <c r="D6" s="8" t="s">
        <v>158</v>
      </c>
      <c r="E6" s="9">
        <f>'BD SHEET FROM COMPANY'!K5</f>
        <v>7101.5999999999995</v>
      </c>
      <c r="F6" s="9"/>
      <c r="G6" s="95">
        <f>E6/10.7639</f>
        <v>659.76086734362082</v>
      </c>
      <c r="H6" s="10">
        <f>'BD SHEET FROM COMPANY'!E5</f>
        <v>20</v>
      </c>
      <c r="I6" s="30">
        <f>H6/3.281</f>
        <v>6.0957025297165499</v>
      </c>
      <c r="J6" s="31">
        <f>'BD SHEET FROM COMPANY'!F5</f>
        <v>1991</v>
      </c>
      <c r="K6" s="11">
        <v>2022</v>
      </c>
      <c r="L6" s="10">
        <f>K6-J6</f>
        <v>31</v>
      </c>
      <c r="M6" s="11">
        <v>60</v>
      </c>
      <c r="N6" s="12">
        <v>0.1</v>
      </c>
      <c r="O6" s="13">
        <f t="shared" ref="O6:O69" si="0">(1-N6)/M6</f>
        <v>1.5000000000000001E-2</v>
      </c>
      <c r="P6" s="25">
        <f>IF((H6&lt;=5),VLOOKUP(D6,'building rates'!$B$30:$H$54,2,FALSE),IF(AND(H6&gt;5,H6&lt;=12),VLOOKUP(D6,'building rates'!$B$30:$H$54,3,FALSE),IF(AND(H6&gt;12,H6&lt;=15),VLOOKUP(D6,'building rates'!$B$30:$H$54,4,FALSE),IF(AND(H6&gt;15,H6&lt;=20),VLOOKUP(D6,'building rates'!$B$30:$H$54,5,FALSE),IF(AND(H6&gt;20,H6&lt;=25),VLOOKUP(D6,'building rates'!$B$30:$H$54,6,FALSE),IF(H6&gt;25,VLOOKUP(D6,'building rates'!$B$30:$H$54,7,FALSE),0))))))</f>
        <v>1400</v>
      </c>
      <c r="Q6" s="14">
        <f t="shared" ref="Q6:Q69" si="1">P6*E6</f>
        <v>9942240</v>
      </c>
      <c r="R6" s="14">
        <f t="shared" ref="R6:R69" si="2">Q6*O6*L6</f>
        <v>4623141.6000000006</v>
      </c>
      <c r="S6" s="14">
        <f t="shared" ref="S6:S69" si="3">MAX(Q6-R6,0)</f>
        <v>5319098.3999999994</v>
      </c>
      <c r="T6" s="15">
        <v>0.2</v>
      </c>
      <c r="U6" s="14">
        <f>IF(S6&gt;N6*Q6,S6*(1-T6),Q6*N6)</f>
        <v>4255278.72</v>
      </c>
      <c r="V6" s="3">
        <f>U6/E6</f>
        <v>599.20000000000005</v>
      </c>
      <c r="W6" s="38"/>
      <c r="X6" s="96"/>
    </row>
    <row r="7" spans="1:24" ht="60" hidden="1" x14ac:dyDescent="0.25">
      <c r="A7" s="7">
        <v>2</v>
      </c>
      <c r="B7" s="98" t="str">
        <f>'BD SHEET FROM COMPANY'!B6</f>
        <v>RMS GODOWNS</v>
      </c>
      <c r="C7" s="29">
        <v>1</v>
      </c>
      <c r="D7" s="8" t="s">
        <v>159</v>
      </c>
      <c r="E7" s="9">
        <f>'BD SHEET FROM COMPANY'!K6</f>
        <v>68218.399999999994</v>
      </c>
      <c r="F7" s="9"/>
      <c r="G7" s="95">
        <f t="shared" ref="G7:G70" si="4">E7/10.7639</f>
        <v>6337.7028772099329</v>
      </c>
      <c r="H7" s="10">
        <f>'BD SHEET FROM COMPANY'!E6</f>
        <v>29.951999999999998</v>
      </c>
      <c r="I7" s="30">
        <f t="shared" ref="I7:I70" si="5">H7/3.281</f>
        <v>9.1289241085035044</v>
      </c>
      <c r="J7" s="31">
        <f>'BD SHEET FROM COMPANY'!F6</f>
        <v>1991</v>
      </c>
      <c r="K7" s="11">
        <v>2022</v>
      </c>
      <c r="L7" s="10">
        <f t="shared" ref="L7:L70" si="6">K7-J7</f>
        <v>31</v>
      </c>
      <c r="M7" s="11">
        <v>40</v>
      </c>
      <c r="N7" s="12">
        <v>0.1</v>
      </c>
      <c r="O7" s="13">
        <f t="shared" si="0"/>
        <v>2.2499999999999999E-2</v>
      </c>
      <c r="P7" s="25">
        <f>IF((H7&lt;=5),VLOOKUP(D7,'building rates'!$B$30:$H$54,2,FALSE),IF(AND(H7&gt;5,H7&lt;=12),VLOOKUP(D7,'building rates'!$B$30:$H$54,3,FALSE),IF(AND(H7&gt;12,H7&lt;=15),VLOOKUP(D7,'building rates'!$B$30:$H$54,4,FALSE),IF(AND(H7&gt;15,H7&lt;=20),VLOOKUP(D7,'building rates'!$B$30:$H$54,5,FALSE),IF(AND(H7&gt;20,H7&lt;=25),VLOOKUP(D7,'building rates'!$B$30:$H$54,6,FALSE),IF(H7&gt;25,VLOOKUP(D7,'building rates'!$B$30:$H$54,7,FALSE),0))))))</f>
        <v>1100</v>
      </c>
      <c r="Q7" s="14">
        <f t="shared" si="1"/>
        <v>75040240</v>
      </c>
      <c r="R7" s="14">
        <f t="shared" si="2"/>
        <v>52340567.399999999</v>
      </c>
      <c r="S7" s="14">
        <f t="shared" si="3"/>
        <v>22699672.600000001</v>
      </c>
      <c r="T7" s="15">
        <v>0.2</v>
      </c>
      <c r="U7" s="14">
        <f t="shared" ref="U7:U70" si="7">IF(S7&gt;N7*Q7,S7*(1-T7),Q7*N7)</f>
        <v>18159738.080000002</v>
      </c>
      <c r="V7" s="3">
        <f t="shared" ref="V7:V70" si="8">U7/E7</f>
        <v>266.20000000000005</v>
      </c>
      <c r="W7" s="39"/>
      <c r="X7" s="40"/>
    </row>
    <row r="8" spans="1:24" ht="45" hidden="1" x14ac:dyDescent="0.25">
      <c r="A8" s="7">
        <v>3</v>
      </c>
      <c r="B8" s="98" t="str">
        <f>'BD SHEET FROM COMPANY'!B7</f>
        <v>BANBURY &amp; MIXING # 1,2 &amp; 3 BASEMENT</v>
      </c>
      <c r="C8" s="29">
        <v>1</v>
      </c>
      <c r="D8" s="8" t="s">
        <v>158</v>
      </c>
      <c r="E8" s="9">
        <f>'BD SHEET FROM COMPANY'!K7</f>
        <v>41426</v>
      </c>
      <c r="F8" s="9"/>
      <c r="G8" s="95">
        <f t="shared" si="4"/>
        <v>3848.6050595044549</v>
      </c>
      <c r="H8" s="10">
        <f>'BD SHEET FROM COMPANY'!E7</f>
        <v>20</v>
      </c>
      <c r="I8" s="30">
        <f t="shared" si="5"/>
        <v>6.0957025297165499</v>
      </c>
      <c r="J8" s="31">
        <f>'BD SHEET FROM COMPANY'!F7</f>
        <v>1991</v>
      </c>
      <c r="K8" s="11">
        <v>2022</v>
      </c>
      <c r="L8" s="10">
        <f t="shared" si="6"/>
        <v>31</v>
      </c>
      <c r="M8" s="11">
        <v>60</v>
      </c>
      <c r="N8" s="12">
        <v>0.1</v>
      </c>
      <c r="O8" s="13">
        <f t="shared" si="0"/>
        <v>1.5000000000000001E-2</v>
      </c>
      <c r="P8" s="25">
        <f>IF((H8&lt;=5),VLOOKUP(D8,'building rates'!$B$30:$H$54,2,FALSE),IF(AND(H8&gt;5,H8&lt;=12),VLOOKUP(D8,'building rates'!$B$30:$H$54,3,FALSE),IF(AND(H8&gt;12,H8&lt;=15),VLOOKUP(D8,'building rates'!$B$30:$H$54,4,FALSE),IF(AND(H8&gt;15,H8&lt;=20),VLOOKUP(D8,'building rates'!$B$30:$H$54,5,FALSE),IF(AND(H8&gt;20,H8&lt;=25),VLOOKUP(D8,'building rates'!$B$30:$H$54,6,FALSE),IF(H8&gt;25,VLOOKUP(D8,'building rates'!$B$30:$H$54,7,FALSE),0))))))</f>
        <v>1400</v>
      </c>
      <c r="Q8" s="14">
        <f t="shared" si="1"/>
        <v>57996400</v>
      </c>
      <c r="R8" s="14">
        <f t="shared" si="2"/>
        <v>26968326.000000004</v>
      </c>
      <c r="S8" s="14">
        <f t="shared" si="3"/>
        <v>31028073.999999996</v>
      </c>
      <c r="T8" s="15">
        <v>0.25</v>
      </c>
      <c r="U8" s="14">
        <f t="shared" si="7"/>
        <v>23271055.499999996</v>
      </c>
      <c r="V8" s="3">
        <f t="shared" si="8"/>
        <v>561.74999999999989</v>
      </c>
      <c r="W8" s="36"/>
      <c r="X8" s="40"/>
    </row>
    <row r="9" spans="1:24" ht="45" hidden="1" x14ac:dyDescent="0.25">
      <c r="A9" s="7">
        <v>4</v>
      </c>
      <c r="B9" s="98" t="str">
        <f>'BD SHEET FROM COMPANY'!B8</f>
        <v>BANBURY &amp; MIXING # 1,2 &amp; 3 GROUND FLOOR</v>
      </c>
      <c r="C9" s="29">
        <v>1</v>
      </c>
      <c r="D9" s="8" t="s">
        <v>158</v>
      </c>
      <c r="E9" s="9">
        <f>'BD SHEET FROM COMPANY'!K8</f>
        <v>28998.2</v>
      </c>
      <c r="F9" s="9"/>
      <c r="G9" s="95">
        <f t="shared" si="4"/>
        <v>2694.0235416531186</v>
      </c>
      <c r="H9" s="10">
        <f>'BD SHEET FROM COMPANY'!E8</f>
        <v>20</v>
      </c>
      <c r="I9" s="30">
        <f t="shared" si="5"/>
        <v>6.0957025297165499</v>
      </c>
      <c r="J9" s="31">
        <f>'BD SHEET FROM COMPANY'!F8</f>
        <v>1991</v>
      </c>
      <c r="K9" s="11">
        <v>2022</v>
      </c>
      <c r="L9" s="10">
        <f t="shared" si="6"/>
        <v>31</v>
      </c>
      <c r="M9" s="11">
        <v>60</v>
      </c>
      <c r="N9" s="12">
        <v>0.1</v>
      </c>
      <c r="O9" s="13">
        <f t="shared" si="0"/>
        <v>1.5000000000000001E-2</v>
      </c>
      <c r="P9" s="25">
        <f>IF((H9&lt;=5),VLOOKUP(D9,'building rates'!$B$30:$H$54,2,FALSE),IF(AND(H9&gt;5,H9&lt;=12),VLOOKUP(D9,'building rates'!$B$30:$H$54,3,FALSE),IF(AND(H9&gt;12,H9&lt;=15),VLOOKUP(D9,'building rates'!$B$30:$H$54,4,FALSE),IF(AND(H9&gt;15,H9&lt;=20),VLOOKUP(D9,'building rates'!$B$30:$H$54,5,FALSE),IF(AND(H9&gt;20,H9&lt;=25),VLOOKUP(D9,'building rates'!$B$30:$H$54,6,FALSE),IF(H9&gt;25,VLOOKUP(D9,'building rates'!$B$30:$H$54,7,FALSE),0))))))</f>
        <v>1400</v>
      </c>
      <c r="Q9" s="14">
        <f t="shared" si="1"/>
        <v>40597480</v>
      </c>
      <c r="R9" s="14">
        <f t="shared" si="2"/>
        <v>18877828.200000003</v>
      </c>
      <c r="S9" s="14">
        <f t="shared" si="3"/>
        <v>21719651.799999997</v>
      </c>
      <c r="T9" s="15">
        <v>0.25</v>
      </c>
      <c r="U9" s="14">
        <f t="shared" si="7"/>
        <v>16289738.849999998</v>
      </c>
      <c r="V9" s="3">
        <f t="shared" si="8"/>
        <v>561.74999999999989</v>
      </c>
      <c r="W9" s="37"/>
      <c r="X9" s="40"/>
    </row>
    <row r="10" spans="1:24" ht="60" hidden="1" x14ac:dyDescent="0.25">
      <c r="A10" s="7">
        <v>5</v>
      </c>
      <c r="B10" s="98" t="str">
        <f>'BD SHEET FROM COMPANY'!B9</f>
        <v>BANBURY &amp; MIXING # 1,2 &amp; 3 GROUND FLOOR</v>
      </c>
      <c r="C10" s="29">
        <v>1</v>
      </c>
      <c r="D10" s="8" t="s">
        <v>159</v>
      </c>
      <c r="E10" s="9">
        <f>'BD SHEET FROM COMPANY'!K9</f>
        <v>12427.8</v>
      </c>
      <c r="F10" s="9"/>
      <c r="G10" s="95">
        <f t="shared" si="4"/>
        <v>1154.5815178513365</v>
      </c>
      <c r="H10" s="10">
        <f>'BD SHEET FROM COMPANY'!E9</f>
        <v>29.951999999999998</v>
      </c>
      <c r="I10" s="30">
        <f t="shared" si="5"/>
        <v>9.1289241085035044</v>
      </c>
      <c r="J10" s="31">
        <f>'BD SHEET FROM COMPANY'!F9</f>
        <v>1991</v>
      </c>
      <c r="K10" s="11">
        <v>2022</v>
      </c>
      <c r="L10" s="10">
        <f t="shared" si="6"/>
        <v>31</v>
      </c>
      <c r="M10" s="11">
        <v>40</v>
      </c>
      <c r="N10" s="12">
        <v>0.1</v>
      </c>
      <c r="O10" s="13">
        <f t="shared" si="0"/>
        <v>2.2499999999999999E-2</v>
      </c>
      <c r="P10" s="25">
        <f>IF((H10&lt;=5),VLOOKUP(D10,'building rates'!$B$30:$H$54,2,FALSE),IF(AND(H10&gt;5,H10&lt;=12),VLOOKUP(D10,'building rates'!$B$30:$H$54,3,FALSE),IF(AND(H10&gt;12,H10&lt;=15),VLOOKUP(D10,'building rates'!$B$30:$H$54,4,FALSE),IF(AND(H10&gt;15,H10&lt;=20),VLOOKUP(D10,'building rates'!$B$30:$H$54,5,FALSE),IF(AND(H10&gt;20,H10&lt;=25),VLOOKUP(D10,'building rates'!$B$30:$H$54,6,FALSE),IF(H10&gt;25,VLOOKUP(D10,'building rates'!$B$30:$H$54,7,FALSE),0))))))</f>
        <v>1100</v>
      </c>
      <c r="Q10" s="14">
        <f t="shared" si="1"/>
        <v>13670580</v>
      </c>
      <c r="R10" s="14">
        <f t="shared" si="2"/>
        <v>9535229.5499999989</v>
      </c>
      <c r="S10" s="14">
        <f t="shared" si="3"/>
        <v>4135350.4500000011</v>
      </c>
      <c r="T10" s="15">
        <v>0.2</v>
      </c>
      <c r="U10" s="14">
        <f t="shared" si="7"/>
        <v>3308280.3600000013</v>
      </c>
      <c r="V10" s="3">
        <f t="shared" si="8"/>
        <v>266.2000000000001</v>
      </c>
      <c r="W10" s="37"/>
      <c r="X10" s="40"/>
    </row>
    <row r="11" spans="1:24" ht="60" hidden="1" x14ac:dyDescent="0.25">
      <c r="A11" s="7">
        <v>6</v>
      </c>
      <c r="B11" s="98" t="str">
        <f>'BD SHEET FROM COMPANY'!B10</f>
        <v>BANBURY &amp; MIXING # 1,2 &amp; 3, 1st FLOOR</v>
      </c>
      <c r="C11" s="29">
        <v>1</v>
      </c>
      <c r="D11" s="8" t="s">
        <v>159</v>
      </c>
      <c r="E11" s="9">
        <f>'BD SHEET FROM COMPANY'!K10</f>
        <v>33140.800000000003</v>
      </c>
      <c r="F11" s="9"/>
      <c r="G11" s="95">
        <f t="shared" si="4"/>
        <v>3078.8840476035643</v>
      </c>
      <c r="H11" s="10">
        <f>'BD SHEET FROM COMPANY'!E10</f>
        <v>26.623999999999999</v>
      </c>
      <c r="I11" s="30">
        <f t="shared" si="5"/>
        <v>8.1145992075586708</v>
      </c>
      <c r="J11" s="31">
        <f>'BD SHEET FROM COMPANY'!F10</f>
        <v>1991</v>
      </c>
      <c r="K11" s="11">
        <v>2022</v>
      </c>
      <c r="L11" s="10">
        <f t="shared" si="6"/>
        <v>31</v>
      </c>
      <c r="M11" s="11">
        <v>40</v>
      </c>
      <c r="N11" s="12">
        <v>0.1</v>
      </c>
      <c r="O11" s="13">
        <f t="shared" si="0"/>
        <v>2.2499999999999999E-2</v>
      </c>
      <c r="P11" s="25">
        <f>IF((H11&lt;=5),VLOOKUP(D11,'building rates'!$B$30:$H$54,2,FALSE),IF(AND(H11&gt;5,H11&lt;=12),VLOOKUP(D11,'building rates'!$B$30:$H$54,3,FALSE),IF(AND(H11&gt;12,H11&lt;=15),VLOOKUP(D11,'building rates'!$B$30:$H$54,4,FALSE),IF(AND(H11&gt;15,H11&lt;=20),VLOOKUP(D11,'building rates'!$B$30:$H$54,5,FALSE),IF(AND(H11&gt;20,H11&lt;=25),VLOOKUP(D11,'building rates'!$B$30:$H$54,6,FALSE),IF(H11&gt;25,VLOOKUP(D11,'building rates'!$B$30:$H$54,7,FALSE),0))))))</f>
        <v>1100</v>
      </c>
      <c r="Q11" s="14">
        <f t="shared" si="1"/>
        <v>36454880</v>
      </c>
      <c r="R11" s="14">
        <f t="shared" si="2"/>
        <v>25427278.799999997</v>
      </c>
      <c r="S11" s="14">
        <f t="shared" si="3"/>
        <v>11027601.200000003</v>
      </c>
      <c r="T11" s="15">
        <v>0.2</v>
      </c>
      <c r="U11" s="14">
        <f t="shared" si="7"/>
        <v>8822080.9600000028</v>
      </c>
      <c r="V11" s="3">
        <f t="shared" si="8"/>
        <v>266.20000000000005</v>
      </c>
      <c r="W11" s="37"/>
      <c r="X11" s="40"/>
    </row>
    <row r="12" spans="1:24" ht="60" hidden="1" x14ac:dyDescent="0.25">
      <c r="A12" s="7">
        <v>7</v>
      </c>
      <c r="B12" s="98" t="str">
        <f>'BD SHEET FROM COMPANY'!B11</f>
        <v>BANBURY &amp; MIXING # 1,2 &amp; 3, 2nd FLOOR</v>
      </c>
      <c r="C12" s="29">
        <v>1</v>
      </c>
      <c r="D12" s="8" t="s">
        <v>159</v>
      </c>
      <c r="E12" s="9">
        <f>'BD SHEET FROM COMPANY'!K11</f>
        <v>8285.2000000000007</v>
      </c>
      <c r="F12" s="9"/>
      <c r="G12" s="95">
        <f t="shared" si="4"/>
        <v>769.72101190089109</v>
      </c>
      <c r="H12" s="10">
        <f>'BD SHEET FROM COMPANY'!E11</f>
        <v>16.64</v>
      </c>
      <c r="I12" s="30">
        <f t="shared" si="5"/>
        <v>5.071624504724169</v>
      </c>
      <c r="J12" s="31">
        <f>'BD SHEET FROM COMPANY'!F11</f>
        <v>1991</v>
      </c>
      <c r="K12" s="11">
        <v>2022</v>
      </c>
      <c r="L12" s="10">
        <f t="shared" si="6"/>
        <v>31</v>
      </c>
      <c r="M12" s="11">
        <v>40</v>
      </c>
      <c r="N12" s="12">
        <v>0.1</v>
      </c>
      <c r="O12" s="13">
        <f t="shared" si="0"/>
        <v>2.2499999999999999E-2</v>
      </c>
      <c r="P12" s="25">
        <f>IF((H12&lt;=5),VLOOKUP(D12,'building rates'!$B$30:$H$54,2,FALSE),IF(AND(H12&gt;5,H12&lt;=12),VLOOKUP(D12,'building rates'!$B$30:$H$54,3,FALSE),IF(AND(H12&gt;12,H12&lt;=15),VLOOKUP(D12,'building rates'!$B$30:$H$54,4,FALSE),IF(AND(H12&gt;15,H12&lt;=20),VLOOKUP(D12,'building rates'!$B$30:$H$54,5,FALSE),IF(AND(H12&gt;20,H12&lt;=25),VLOOKUP(D12,'building rates'!$B$30:$H$54,6,FALSE),IF(H12&gt;25,VLOOKUP(D12,'building rates'!$B$30:$H$54,7,FALSE),0))))))</f>
        <v>700</v>
      </c>
      <c r="Q12" s="14">
        <f t="shared" si="1"/>
        <v>5799640.0000000009</v>
      </c>
      <c r="R12" s="14">
        <f t="shared" si="2"/>
        <v>4045248.9000000008</v>
      </c>
      <c r="S12" s="14">
        <f t="shared" si="3"/>
        <v>1754391.1</v>
      </c>
      <c r="T12" s="15">
        <v>0.15</v>
      </c>
      <c r="U12" s="14">
        <f t="shared" si="7"/>
        <v>1491232.4350000001</v>
      </c>
      <c r="V12" s="3">
        <f t="shared" si="8"/>
        <v>179.98749999999998</v>
      </c>
      <c r="W12" s="37"/>
      <c r="X12" s="40"/>
    </row>
    <row r="13" spans="1:24" ht="45" hidden="1" x14ac:dyDescent="0.25">
      <c r="A13" s="7">
        <v>8</v>
      </c>
      <c r="B13" s="98" t="str">
        <f>'BD SHEET FROM COMPANY'!B12</f>
        <v>BANBURY &amp; MIXING # 4 BASEMENT</v>
      </c>
      <c r="C13" s="29">
        <v>1</v>
      </c>
      <c r="D13" s="8" t="s">
        <v>158</v>
      </c>
      <c r="E13" s="9">
        <f>'BD SHEET FROM COMPANY'!K12</f>
        <v>10375.33</v>
      </c>
      <c r="F13" s="16"/>
      <c r="G13" s="95">
        <f t="shared" si="4"/>
        <v>963.90063081225207</v>
      </c>
      <c r="H13" s="10">
        <f>'BD SHEET FROM COMPANY'!E12</f>
        <v>20</v>
      </c>
      <c r="I13" s="30">
        <f t="shared" si="5"/>
        <v>6.0957025297165499</v>
      </c>
      <c r="J13" s="31">
        <f>'BD SHEET FROM COMPANY'!F12</f>
        <v>2004</v>
      </c>
      <c r="K13" s="11">
        <v>2022</v>
      </c>
      <c r="L13" s="10">
        <f t="shared" si="6"/>
        <v>18</v>
      </c>
      <c r="M13" s="11">
        <v>60</v>
      </c>
      <c r="N13" s="12">
        <v>0.1</v>
      </c>
      <c r="O13" s="13">
        <f t="shared" si="0"/>
        <v>1.5000000000000001E-2</v>
      </c>
      <c r="P13" s="25">
        <f>IF((H13&lt;=5),VLOOKUP(D13,'building rates'!$B$30:$H$54,2,FALSE),IF(AND(H13&gt;5,H13&lt;=12),VLOOKUP(D13,'building rates'!$B$30:$H$54,3,FALSE),IF(AND(H13&gt;12,H13&lt;=15),VLOOKUP(D13,'building rates'!$B$30:$H$54,4,FALSE),IF(AND(H13&gt;15,H13&lt;=20),VLOOKUP(D13,'building rates'!$B$30:$H$54,5,FALSE),IF(AND(H13&gt;20,H13&lt;=25),VLOOKUP(D13,'building rates'!$B$30:$H$54,6,FALSE),IF(H13&gt;25,VLOOKUP(D13,'building rates'!$B$30:$H$54,7,FALSE),0))))))</f>
        <v>1400</v>
      </c>
      <c r="Q13" s="14">
        <f t="shared" si="1"/>
        <v>14525462</v>
      </c>
      <c r="R13" s="14">
        <f t="shared" si="2"/>
        <v>3921874.74</v>
      </c>
      <c r="S13" s="14">
        <f t="shared" si="3"/>
        <v>10603587.26</v>
      </c>
      <c r="T13" s="15">
        <v>0.2</v>
      </c>
      <c r="U13" s="14">
        <f t="shared" si="7"/>
        <v>8482869.8080000002</v>
      </c>
      <c r="V13" s="3">
        <f t="shared" si="8"/>
        <v>817.6</v>
      </c>
      <c r="W13" s="37"/>
      <c r="X13" s="40"/>
    </row>
    <row r="14" spans="1:24" ht="45" hidden="1" x14ac:dyDescent="0.25">
      <c r="A14" s="7">
        <v>9</v>
      </c>
      <c r="B14" s="98" t="str">
        <f>'BD SHEET FROM COMPANY'!B13</f>
        <v>BANBURY &amp; MIXING # 4 GROUND FLOOR</v>
      </c>
      <c r="C14" s="29">
        <v>1</v>
      </c>
      <c r="D14" s="8" t="s">
        <v>158</v>
      </c>
      <c r="E14" s="9">
        <f>'BD SHEET FROM COMPANY'!K13</f>
        <v>14525.462</v>
      </c>
      <c r="F14" s="16"/>
      <c r="G14" s="95">
        <f t="shared" si="4"/>
        <v>1349.4608831371529</v>
      </c>
      <c r="H14" s="10">
        <f>'BD SHEET FROM COMPANY'!E13</f>
        <v>20</v>
      </c>
      <c r="I14" s="30">
        <f t="shared" si="5"/>
        <v>6.0957025297165499</v>
      </c>
      <c r="J14" s="31">
        <f>'BD SHEET FROM COMPANY'!F13</f>
        <v>2004</v>
      </c>
      <c r="K14" s="11">
        <v>2022</v>
      </c>
      <c r="L14" s="10">
        <f t="shared" si="6"/>
        <v>18</v>
      </c>
      <c r="M14" s="11">
        <v>60</v>
      </c>
      <c r="N14" s="12">
        <v>0.1</v>
      </c>
      <c r="O14" s="13">
        <f t="shared" si="0"/>
        <v>1.5000000000000001E-2</v>
      </c>
      <c r="P14" s="25">
        <f>IF((H14&lt;=5),VLOOKUP(D14,'building rates'!$B$30:$H$54,2,FALSE),IF(AND(H14&gt;5,H14&lt;=12),VLOOKUP(D14,'building rates'!$B$30:$H$54,3,FALSE),IF(AND(H14&gt;12,H14&lt;=15),VLOOKUP(D14,'building rates'!$B$30:$H$54,4,FALSE),IF(AND(H14&gt;15,H14&lt;=20),VLOOKUP(D14,'building rates'!$B$30:$H$54,5,FALSE),IF(AND(H14&gt;20,H14&lt;=25),VLOOKUP(D14,'building rates'!$B$30:$H$54,6,FALSE),IF(H14&gt;25,VLOOKUP(D14,'building rates'!$B$30:$H$54,7,FALSE),0))))))</f>
        <v>1400</v>
      </c>
      <c r="Q14" s="14">
        <f t="shared" si="1"/>
        <v>20335646.800000001</v>
      </c>
      <c r="R14" s="14">
        <f t="shared" si="2"/>
        <v>5490624.6360000009</v>
      </c>
      <c r="S14" s="14">
        <f t="shared" si="3"/>
        <v>14845022.164000001</v>
      </c>
      <c r="T14" s="15">
        <v>0.25</v>
      </c>
      <c r="U14" s="14">
        <f t="shared" si="7"/>
        <v>11133766.623</v>
      </c>
      <c r="V14" s="3">
        <f t="shared" si="8"/>
        <v>766.5</v>
      </c>
      <c r="W14" s="37"/>
      <c r="X14" s="40"/>
    </row>
    <row r="15" spans="1:24" ht="60" hidden="1" x14ac:dyDescent="0.25">
      <c r="A15" s="7">
        <v>10</v>
      </c>
      <c r="B15" s="98" t="str">
        <f>'BD SHEET FROM COMPANY'!B14</f>
        <v>BANBURY &amp; MIXING # 4 GROUND FLOOR</v>
      </c>
      <c r="C15" s="29">
        <v>1</v>
      </c>
      <c r="D15" s="8" t="s">
        <v>159</v>
      </c>
      <c r="E15" s="9">
        <f>'BD SHEET FROM COMPANY'!K14</f>
        <v>6213.9</v>
      </c>
      <c r="F15" s="9"/>
      <c r="G15" s="95">
        <f t="shared" si="4"/>
        <v>577.29075892566823</v>
      </c>
      <c r="H15" s="10">
        <f>'BD SHEET FROM COMPANY'!E14</f>
        <v>29.951999999999998</v>
      </c>
      <c r="I15" s="30">
        <f t="shared" si="5"/>
        <v>9.1289241085035044</v>
      </c>
      <c r="J15" s="31">
        <f>'BD SHEET FROM COMPANY'!F14</f>
        <v>2004</v>
      </c>
      <c r="K15" s="11">
        <v>2022</v>
      </c>
      <c r="L15" s="10">
        <f t="shared" si="6"/>
        <v>18</v>
      </c>
      <c r="M15" s="11">
        <v>40</v>
      </c>
      <c r="N15" s="12">
        <v>0.1</v>
      </c>
      <c r="O15" s="13">
        <f t="shared" si="0"/>
        <v>2.2499999999999999E-2</v>
      </c>
      <c r="P15" s="25">
        <f>IF((H15&lt;=5),VLOOKUP(D15,'building rates'!$B$30:$H$54,2,FALSE),IF(AND(H15&gt;5,H15&lt;=12),VLOOKUP(D15,'building rates'!$B$30:$H$54,3,FALSE),IF(AND(H15&gt;12,H15&lt;=15),VLOOKUP(D15,'building rates'!$B$30:$H$54,4,FALSE),IF(AND(H15&gt;15,H15&lt;=20),VLOOKUP(D15,'building rates'!$B$30:$H$54,5,FALSE),IF(AND(H15&gt;20,H15&lt;=25),VLOOKUP(D15,'building rates'!$B$30:$H$54,6,FALSE),IF(H15&gt;25,VLOOKUP(D15,'building rates'!$B$30:$H$54,7,FALSE),0))))))</f>
        <v>1100</v>
      </c>
      <c r="Q15" s="14">
        <f t="shared" si="1"/>
        <v>6835290</v>
      </c>
      <c r="R15" s="14">
        <f t="shared" si="2"/>
        <v>2768292.4499999997</v>
      </c>
      <c r="S15" s="14">
        <f t="shared" si="3"/>
        <v>4066997.5500000003</v>
      </c>
      <c r="T15" s="15">
        <v>0.2</v>
      </c>
      <c r="U15" s="14">
        <f t="shared" si="7"/>
        <v>3253598.0400000005</v>
      </c>
      <c r="V15" s="3">
        <f t="shared" si="8"/>
        <v>523.60000000000014</v>
      </c>
      <c r="X15" s="40"/>
    </row>
    <row r="16" spans="1:24" ht="60" hidden="1" x14ac:dyDescent="0.25">
      <c r="A16" s="7">
        <v>11</v>
      </c>
      <c r="B16" s="98" t="str">
        <f>'BD SHEET FROM COMPANY'!B15</f>
        <v>BANBURY &amp; MIXING # 4, 1st FLOOR</v>
      </c>
      <c r="C16" s="29">
        <v>1</v>
      </c>
      <c r="D16" s="8" t="s">
        <v>159</v>
      </c>
      <c r="E16" s="9">
        <f>'BD SHEET FROM COMPANY'!K15</f>
        <v>20713</v>
      </c>
      <c r="F16" s="9"/>
      <c r="G16" s="95">
        <f t="shared" si="4"/>
        <v>1924.3025297522274</v>
      </c>
      <c r="H16" s="10">
        <f>'BD SHEET FROM COMPANY'!E15</f>
        <v>29.951999999999998</v>
      </c>
      <c r="I16" s="30">
        <f t="shared" si="5"/>
        <v>9.1289241085035044</v>
      </c>
      <c r="J16" s="31">
        <f>'BD SHEET FROM COMPANY'!F15</f>
        <v>2004</v>
      </c>
      <c r="K16" s="11">
        <v>2022</v>
      </c>
      <c r="L16" s="10">
        <f t="shared" si="6"/>
        <v>18</v>
      </c>
      <c r="M16" s="11">
        <v>40</v>
      </c>
      <c r="N16" s="12">
        <v>0.1</v>
      </c>
      <c r="O16" s="13">
        <f t="shared" si="0"/>
        <v>2.2499999999999999E-2</v>
      </c>
      <c r="P16" s="25">
        <f>IF((H16&lt;=5),VLOOKUP(D16,'building rates'!$B$30:$H$54,2,FALSE),IF(AND(H16&gt;5,H16&lt;=12),VLOOKUP(D16,'building rates'!$B$30:$H$54,3,FALSE),IF(AND(H16&gt;12,H16&lt;=15),VLOOKUP(D16,'building rates'!$B$30:$H$54,4,FALSE),IF(AND(H16&gt;15,H16&lt;=20),VLOOKUP(D16,'building rates'!$B$30:$H$54,5,FALSE),IF(AND(H16&gt;20,H16&lt;=25),VLOOKUP(D16,'building rates'!$B$30:$H$54,6,FALSE),IF(H16&gt;25,VLOOKUP(D16,'building rates'!$B$30:$H$54,7,FALSE),0))))))</f>
        <v>1100</v>
      </c>
      <c r="Q16" s="14">
        <f t="shared" si="1"/>
        <v>22784300</v>
      </c>
      <c r="R16" s="14">
        <f t="shared" si="2"/>
        <v>9227641.5</v>
      </c>
      <c r="S16" s="14">
        <f t="shared" si="3"/>
        <v>13556658.5</v>
      </c>
      <c r="T16" s="15">
        <v>0.25</v>
      </c>
      <c r="U16" s="14">
        <f t="shared" si="7"/>
        <v>10167493.875</v>
      </c>
      <c r="V16" s="3">
        <f t="shared" si="8"/>
        <v>490.875</v>
      </c>
      <c r="X16" s="40"/>
    </row>
    <row r="17" spans="1:24" ht="60" hidden="1" x14ac:dyDescent="0.25">
      <c r="A17" s="7">
        <v>12</v>
      </c>
      <c r="B17" s="98" t="str">
        <f>'BD SHEET FROM COMPANY'!B16</f>
        <v>BANBURY &amp; MIXING # 4, 2nd FLOOR</v>
      </c>
      <c r="C17" s="29">
        <v>1</v>
      </c>
      <c r="D17" s="8" t="s">
        <v>159</v>
      </c>
      <c r="E17" s="9">
        <f>'BD SHEET FROM COMPANY'!K16</f>
        <v>4142.6000000000004</v>
      </c>
      <c r="F17" s="9"/>
      <c r="G17" s="95">
        <f t="shared" si="4"/>
        <v>384.86050595044554</v>
      </c>
      <c r="H17" s="10">
        <f>'BD SHEET FROM COMPANY'!E16</f>
        <v>16.64</v>
      </c>
      <c r="I17" s="30">
        <f t="shared" si="5"/>
        <v>5.071624504724169</v>
      </c>
      <c r="J17" s="31">
        <f>'BD SHEET FROM COMPANY'!F16</f>
        <v>2004</v>
      </c>
      <c r="K17" s="11">
        <v>2022</v>
      </c>
      <c r="L17" s="10">
        <f t="shared" si="6"/>
        <v>18</v>
      </c>
      <c r="M17" s="11">
        <v>40</v>
      </c>
      <c r="N17" s="12">
        <v>0.1</v>
      </c>
      <c r="O17" s="13">
        <f t="shared" si="0"/>
        <v>2.2499999999999999E-2</v>
      </c>
      <c r="P17" s="25">
        <f>IF((H17&lt;=5),VLOOKUP(D17,'building rates'!$B$30:$H$54,2,FALSE),IF(AND(H17&gt;5,H17&lt;=12),VLOOKUP(D17,'building rates'!$B$30:$H$54,3,FALSE),IF(AND(H17&gt;12,H17&lt;=15),VLOOKUP(D17,'building rates'!$B$30:$H$54,4,FALSE),IF(AND(H17&gt;15,H17&lt;=20),VLOOKUP(D17,'building rates'!$B$30:$H$54,5,FALSE),IF(AND(H17&gt;20,H17&lt;=25),VLOOKUP(D17,'building rates'!$B$30:$H$54,6,FALSE),IF(H17&gt;25,VLOOKUP(D17,'building rates'!$B$30:$H$54,7,FALSE),0))))))</f>
        <v>700</v>
      </c>
      <c r="Q17" s="14">
        <f t="shared" si="1"/>
        <v>2899820.0000000005</v>
      </c>
      <c r="R17" s="14">
        <f t="shared" si="2"/>
        <v>1174427.1000000001</v>
      </c>
      <c r="S17" s="14">
        <f t="shared" si="3"/>
        <v>1725392.9000000004</v>
      </c>
      <c r="T17" s="15">
        <v>0.2</v>
      </c>
      <c r="U17" s="14">
        <f t="shared" si="7"/>
        <v>1380314.3200000003</v>
      </c>
      <c r="V17" s="3">
        <f t="shared" si="8"/>
        <v>333.20000000000005</v>
      </c>
      <c r="X17" s="40"/>
    </row>
    <row r="18" spans="1:24" ht="60" hidden="1" x14ac:dyDescent="0.25">
      <c r="A18" s="7">
        <v>13</v>
      </c>
      <c r="B18" s="98" t="str">
        <f>'BD SHEET FROM COMPANY'!B17</f>
        <v>DIP UNIT</v>
      </c>
      <c r="C18" s="29">
        <v>1</v>
      </c>
      <c r="D18" s="8" t="s">
        <v>159</v>
      </c>
      <c r="E18" s="9">
        <f>'BD SHEET FROM COMPANY'!K17</f>
        <v>20713</v>
      </c>
      <c r="F18" s="9"/>
      <c r="G18" s="95">
        <f t="shared" si="4"/>
        <v>1924.3025297522274</v>
      </c>
      <c r="H18" s="10">
        <f>'BD SHEET FROM COMPANY'!E17</f>
        <v>79.872</v>
      </c>
      <c r="I18" s="30">
        <f t="shared" si="5"/>
        <v>24.343797622676011</v>
      </c>
      <c r="J18" s="31">
        <f>'BD SHEET FROM COMPANY'!F17</f>
        <v>1991</v>
      </c>
      <c r="K18" s="11">
        <v>2022</v>
      </c>
      <c r="L18" s="10">
        <f t="shared" si="6"/>
        <v>31</v>
      </c>
      <c r="M18" s="11">
        <v>40</v>
      </c>
      <c r="N18" s="12">
        <v>0.1</v>
      </c>
      <c r="O18" s="13">
        <f t="shared" si="0"/>
        <v>2.2499999999999999E-2</v>
      </c>
      <c r="P18" s="25">
        <f>IF((H18&lt;=5),VLOOKUP(D18,'building rates'!$B$30:$H$54,2,FALSE),IF(AND(H18&gt;5,H18&lt;=12),VLOOKUP(D18,'building rates'!$B$30:$H$54,3,FALSE),IF(AND(H18&gt;12,H18&lt;=15),VLOOKUP(D18,'building rates'!$B$30:$H$54,4,FALSE),IF(AND(H18&gt;15,H18&lt;=20),VLOOKUP(D18,'building rates'!$B$30:$H$54,5,FALSE),IF(AND(H18&gt;20,H18&lt;=25),VLOOKUP(D18,'building rates'!$B$30:$H$54,6,FALSE),IF(H18&gt;25,VLOOKUP(D18,'building rates'!$B$30:$H$54,7,FALSE),0))))))</f>
        <v>1100</v>
      </c>
      <c r="Q18" s="14">
        <f t="shared" si="1"/>
        <v>22784300</v>
      </c>
      <c r="R18" s="14">
        <f t="shared" si="2"/>
        <v>15892049.25</v>
      </c>
      <c r="S18" s="14">
        <f t="shared" si="3"/>
        <v>6892250.75</v>
      </c>
      <c r="T18" s="15">
        <v>0.2</v>
      </c>
      <c r="U18" s="14">
        <f t="shared" si="7"/>
        <v>5513800.6000000006</v>
      </c>
      <c r="V18" s="3">
        <f t="shared" si="8"/>
        <v>266.20000000000005</v>
      </c>
      <c r="X18" s="40"/>
    </row>
    <row r="19" spans="1:24" ht="60" hidden="1" x14ac:dyDescent="0.25">
      <c r="A19" s="7">
        <v>14</v>
      </c>
      <c r="B19" s="98" t="str">
        <f>'BD SHEET FROM COMPANY'!B18</f>
        <v>THERMOPACK</v>
      </c>
      <c r="C19" s="29">
        <v>1</v>
      </c>
      <c r="D19" s="8" t="s">
        <v>159</v>
      </c>
      <c r="E19" s="9">
        <f>'BD SHEET FROM COMPANY'!K18</f>
        <v>4217.92</v>
      </c>
      <c r="F19" s="9"/>
      <c r="G19" s="95">
        <f t="shared" si="4"/>
        <v>391.85796969499904</v>
      </c>
      <c r="H19" s="10">
        <f>'BD SHEET FROM COMPANY'!E18</f>
        <v>66</v>
      </c>
      <c r="I19" s="30">
        <f t="shared" si="5"/>
        <v>20.115818348064614</v>
      </c>
      <c r="J19" s="31">
        <f>'BD SHEET FROM COMPANY'!F18</f>
        <v>1991</v>
      </c>
      <c r="K19" s="11">
        <v>2022</v>
      </c>
      <c r="L19" s="10">
        <f t="shared" si="6"/>
        <v>31</v>
      </c>
      <c r="M19" s="11">
        <v>40</v>
      </c>
      <c r="N19" s="12">
        <v>0.1</v>
      </c>
      <c r="O19" s="13">
        <f t="shared" si="0"/>
        <v>2.2499999999999999E-2</v>
      </c>
      <c r="P19" s="25">
        <f>IF((H19&lt;=5),VLOOKUP(D19,'building rates'!$B$30:$H$54,2,FALSE),IF(AND(H19&gt;5,H19&lt;=12),VLOOKUP(D19,'building rates'!$B$30:$H$54,3,FALSE),IF(AND(H19&gt;12,H19&lt;=15),VLOOKUP(D19,'building rates'!$B$30:$H$54,4,FALSE),IF(AND(H19&gt;15,H19&lt;=20),VLOOKUP(D19,'building rates'!$B$30:$H$54,5,FALSE),IF(AND(H19&gt;20,H19&lt;=25),VLOOKUP(D19,'building rates'!$B$30:$H$54,6,FALSE),IF(H19&gt;25,VLOOKUP(D19,'building rates'!$B$30:$H$54,7,FALSE),0))))))</f>
        <v>1100</v>
      </c>
      <c r="Q19" s="14">
        <f t="shared" si="1"/>
        <v>4639712</v>
      </c>
      <c r="R19" s="14">
        <f t="shared" si="2"/>
        <v>3236199.1199999996</v>
      </c>
      <c r="S19" s="14">
        <f t="shared" si="3"/>
        <v>1403512.8800000004</v>
      </c>
      <c r="T19" s="15">
        <v>0.2</v>
      </c>
      <c r="U19" s="14">
        <f t="shared" si="7"/>
        <v>1122810.3040000002</v>
      </c>
      <c r="V19" s="3">
        <f t="shared" si="8"/>
        <v>266.20000000000005</v>
      </c>
      <c r="X19" s="40"/>
    </row>
    <row r="20" spans="1:24" ht="45" hidden="1" x14ac:dyDescent="0.25">
      <c r="A20" s="7">
        <v>15</v>
      </c>
      <c r="B20" s="98" t="str">
        <f>'BD SHEET FROM COMPANY'!B19</f>
        <v>STOCK PREPARATION: 4-ROLL CALENDAR / DUAL EXTRUDER</v>
      </c>
      <c r="C20" s="29">
        <v>1</v>
      </c>
      <c r="D20" s="8" t="s">
        <v>160</v>
      </c>
      <c r="E20" s="9">
        <f>'BD SHEET FROM COMPANY'!K19</f>
        <v>52724</v>
      </c>
      <c r="F20" s="9"/>
      <c r="G20" s="95">
        <f t="shared" si="4"/>
        <v>4898.2246211874881</v>
      </c>
      <c r="H20" s="10">
        <f>'BD SHEET FROM COMPANY'!E19</f>
        <v>38.271999999999998</v>
      </c>
      <c r="I20" s="30">
        <f t="shared" si="5"/>
        <v>11.664736360865589</v>
      </c>
      <c r="J20" s="31">
        <f>'BD SHEET FROM COMPANY'!F19</f>
        <v>1991</v>
      </c>
      <c r="K20" s="11">
        <v>2022</v>
      </c>
      <c r="L20" s="10">
        <f t="shared" si="6"/>
        <v>31</v>
      </c>
      <c r="M20" s="11">
        <v>60</v>
      </c>
      <c r="N20" s="12">
        <v>0.1</v>
      </c>
      <c r="O20" s="13">
        <f t="shared" si="0"/>
        <v>1.5000000000000001E-2</v>
      </c>
      <c r="P20" s="25">
        <f>IF((H20&lt;=5),VLOOKUP(D20,'building rates'!$B$30:$H$54,2,FALSE),IF(AND(H20&gt;5,H20&lt;=12),VLOOKUP(D20,'building rates'!$B$30:$H$54,3,FALSE),IF(AND(H20&gt;12,H20&lt;=15),VLOOKUP(D20,'building rates'!$B$30:$H$54,4,FALSE),IF(AND(H20&gt;15,H20&lt;=20),VLOOKUP(D20,'building rates'!$B$30:$H$54,5,FALSE),IF(AND(H20&gt;20,H20&lt;=25),VLOOKUP(D20,'building rates'!$B$30:$H$54,6,FALSE),IF(H20&gt;25,VLOOKUP(D20,'building rates'!$B$30:$H$54,7,FALSE),0))))))</f>
        <v>1700</v>
      </c>
      <c r="Q20" s="14">
        <f t="shared" si="1"/>
        <v>89630800</v>
      </c>
      <c r="R20" s="14">
        <f t="shared" si="2"/>
        <v>41678322</v>
      </c>
      <c r="S20" s="14">
        <f t="shared" si="3"/>
        <v>47952478</v>
      </c>
      <c r="T20" s="15">
        <v>0.3</v>
      </c>
      <c r="U20" s="14">
        <f t="shared" si="7"/>
        <v>33566734.600000001</v>
      </c>
      <c r="V20" s="3">
        <f t="shared" si="8"/>
        <v>636.65</v>
      </c>
      <c r="W20" s="38"/>
      <c r="X20" s="40"/>
    </row>
    <row r="21" spans="1:24" ht="45" hidden="1" x14ac:dyDescent="0.25">
      <c r="A21" s="7">
        <v>16</v>
      </c>
      <c r="B21" s="98" t="str">
        <f>'BD SHEET FROM COMPANY'!B20</f>
        <v>STOCK PREPERATION TRIPLEX EXTRUDER</v>
      </c>
      <c r="C21" s="29">
        <v>1</v>
      </c>
      <c r="D21" s="8" t="s">
        <v>161</v>
      </c>
      <c r="E21" s="9">
        <f>'BD SHEET FROM COMPANY'!K20</f>
        <v>28998.2</v>
      </c>
      <c r="F21" s="9"/>
      <c r="G21" s="95">
        <f t="shared" si="4"/>
        <v>2694.0235416531186</v>
      </c>
      <c r="H21" s="10">
        <f>'BD SHEET FROM COMPANY'!E20</f>
        <v>29.951999999999998</v>
      </c>
      <c r="I21" s="30">
        <f t="shared" si="5"/>
        <v>9.1289241085035044</v>
      </c>
      <c r="J21" s="31">
        <f>'BD SHEET FROM COMPANY'!F20</f>
        <v>1998</v>
      </c>
      <c r="K21" s="11">
        <v>2022</v>
      </c>
      <c r="L21" s="10">
        <f t="shared" si="6"/>
        <v>24</v>
      </c>
      <c r="M21" s="11">
        <v>60</v>
      </c>
      <c r="N21" s="12">
        <v>0.1</v>
      </c>
      <c r="O21" s="13">
        <f t="shared" si="0"/>
        <v>1.5000000000000001E-2</v>
      </c>
      <c r="P21" s="25">
        <f>IF((H21&lt;=5),VLOOKUP(D21,'building rates'!$B$30:$H$54,2,FALSE),IF(AND(H21&gt;5,H21&lt;=12),VLOOKUP(D21,'building rates'!$B$30:$H$54,3,FALSE),IF(AND(H21&gt;12,H21&lt;=15),VLOOKUP(D21,'building rates'!$B$30:$H$54,4,FALSE),IF(AND(H21&gt;15,H21&lt;=20),VLOOKUP(D21,'building rates'!$B$30:$H$54,5,FALSE),IF(AND(H21&gt;20,H21&lt;=25),VLOOKUP(D21,'building rates'!$B$30:$H$54,6,FALSE),IF(H21&gt;25,VLOOKUP(D21,'building rates'!$B$30:$H$54,7,FALSE),0))))))</f>
        <v>1500</v>
      </c>
      <c r="Q21" s="14">
        <f t="shared" si="1"/>
        <v>43497300</v>
      </c>
      <c r="R21" s="14">
        <f t="shared" si="2"/>
        <v>15659028</v>
      </c>
      <c r="S21" s="14">
        <f t="shared" si="3"/>
        <v>27838272</v>
      </c>
      <c r="T21" s="15">
        <v>0.3</v>
      </c>
      <c r="U21" s="14">
        <f t="shared" si="7"/>
        <v>19486790.399999999</v>
      </c>
      <c r="V21" s="3">
        <f t="shared" si="8"/>
        <v>671.99999999999989</v>
      </c>
      <c r="W21" s="8"/>
      <c r="X21" s="40"/>
    </row>
    <row r="22" spans="1:24" ht="45" hidden="1" x14ac:dyDescent="0.25">
      <c r="A22" s="7">
        <v>17</v>
      </c>
      <c r="B22" s="98" t="str">
        <f>'BD SHEET FROM COMPANY'!B21</f>
        <v>STOCK PREPERATION DUPLEX EXTRUDER</v>
      </c>
      <c r="C22" s="29">
        <v>1</v>
      </c>
      <c r="D22" s="8" t="s">
        <v>162</v>
      </c>
      <c r="E22" s="9">
        <f>'BD SHEET FROM COMPANY'!K21</f>
        <v>28998.2</v>
      </c>
      <c r="F22" s="9"/>
      <c r="G22" s="95">
        <f t="shared" si="4"/>
        <v>2694.0235416531186</v>
      </c>
      <c r="H22" s="10">
        <f>'BD SHEET FROM COMPANY'!E21</f>
        <v>29.951999999999998</v>
      </c>
      <c r="I22" s="30">
        <f t="shared" si="5"/>
        <v>9.1289241085035044</v>
      </c>
      <c r="J22" s="31">
        <f>'BD SHEET FROM COMPANY'!F21</f>
        <v>2004</v>
      </c>
      <c r="K22" s="11">
        <v>2022</v>
      </c>
      <c r="L22" s="10">
        <f t="shared" si="6"/>
        <v>18</v>
      </c>
      <c r="M22" s="11">
        <v>60</v>
      </c>
      <c r="N22" s="12">
        <v>0.1</v>
      </c>
      <c r="O22" s="13">
        <f t="shared" si="0"/>
        <v>1.5000000000000001E-2</v>
      </c>
      <c r="P22" s="25">
        <f>IF((H22&lt;=5),VLOOKUP(D22,'building rates'!$B$30:$H$54,2,FALSE),IF(AND(H22&gt;5,H22&lt;=12),VLOOKUP(D22,'building rates'!$B$30:$H$54,3,FALSE),IF(AND(H22&gt;12,H22&lt;=15),VLOOKUP(D22,'building rates'!$B$30:$H$54,4,FALSE),IF(AND(H22&gt;15,H22&lt;=20),VLOOKUP(D22,'building rates'!$B$30:$H$54,5,FALSE),IF(AND(H22&gt;20,H22&lt;=25),VLOOKUP(D22,'building rates'!$B$30:$H$54,6,FALSE),IF(H22&gt;25,VLOOKUP(D22,'building rates'!$B$30:$H$54,7,FALSE),0))))))</f>
        <v>1300</v>
      </c>
      <c r="Q22" s="14">
        <f t="shared" si="1"/>
        <v>37697660</v>
      </c>
      <c r="R22" s="14">
        <f t="shared" si="2"/>
        <v>10178368.200000001</v>
      </c>
      <c r="S22" s="14">
        <f t="shared" si="3"/>
        <v>27519291.799999997</v>
      </c>
      <c r="T22" s="15">
        <v>0.3</v>
      </c>
      <c r="U22" s="14">
        <f t="shared" si="7"/>
        <v>19263504.259999998</v>
      </c>
      <c r="V22" s="3">
        <f t="shared" si="8"/>
        <v>664.3</v>
      </c>
      <c r="W22" s="38"/>
      <c r="X22" s="40"/>
    </row>
    <row r="23" spans="1:24" ht="45" hidden="1" x14ac:dyDescent="0.25">
      <c r="A23" s="7">
        <v>18</v>
      </c>
      <c r="B23" s="98" t="str">
        <f>'BD SHEET FROM COMPANY'!B22</f>
        <v>TYRE BUILDING MACJINE (TBM)</v>
      </c>
      <c r="C23" s="29">
        <v>1</v>
      </c>
      <c r="D23" s="8" t="s">
        <v>160</v>
      </c>
      <c r="E23" s="9">
        <f>'BD SHEET FROM COMPANY'!K22</f>
        <v>0</v>
      </c>
      <c r="F23" s="9"/>
      <c r="G23" s="95">
        <f t="shared" si="4"/>
        <v>0</v>
      </c>
      <c r="H23" s="10">
        <f>'BD SHEET FROM COMPANY'!E22</f>
        <v>38.271999999999998</v>
      </c>
      <c r="I23" s="30">
        <f t="shared" si="5"/>
        <v>11.664736360865589</v>
      </c>
      <c r="J23" s="31">
        <f>'BD SHEET FROM COMPANY'!F22</f>
        <v>1991</v>
      </c>
      <c r="K23" s="11">
        <v>2022</v>
      </c>
      <c r="L23" s="10">
        <f t="shared" si="6"/>
        <v>31</v>
      </c>
      <c r="M23" s="11">
        <v>30</v>
      </c>
      <c r="N23" s="12">
        <v>0.1</v>
      </c>
      <c r="O23" s="13">
        <f t="shared" si="0"/>
        <v>3.0000000000000002E-2</v>
      </c>
      <c r="P23" s="25">
        <f>IF((H23&lt;=5),VLOOKUP(D23,'building rates'!$B$30:$H$54,2,FALSE),IF(AND(H23&gt;5,H23&lt;=12),VLOOKUP(D23,'building rates'!$B$30:$H$54,3,FALSE),IF(AND(H23&gt;12,H23&lt;=15),VLOOKUP(D23,'building rates'!$B$30:$H$54,4,FALSE),IF(AND(H23&gt;15,H23&lt;=20),VLOOKUP(D23,'building rates'!$B$30:$H$54,5,FALSE),IF(AND(H23&gt;20,H23&lt;=25),VLOOKUP(D23,'building rates'!$B$30:$H$54,6,FALSE),IF(H23&gt;25,VLOOKUP(D23,'building rates'!$B$30:$H$54,7,FALSE),0))))))</f>
        <v>1700</v>
      </c>
      <c r="Q23" s="14">
        <f t="shared" si="1"/>
        <v>0</v>
      </c>
      <c r="R23" s="14">
        <f t="shared" si="2"/>
        <v>0</v>
      </c>
      <c r="S23" s="14">
        <f t="shared" si="3"/>
        <v>0</v>
      </c>
      <c r="T23" s="15">
        <v>0.25</v>
      </c>
      <c r="U23" s="14">
        <f t="shared" si="7"/>
        <v>0</v>
      </c>
      <c r="V23" s="3" t="e">
        <f t="shared" si="8"/>
        <v>#DIV/0!</v>
      </c>
      <c r="X23" s="40"/>
    </row>
    <row r="24" spans="1:24" ht="45" hidden="1" x14ac:dyDescent="0.25">
      <c r="A24" s="7">
        <v>19</v>
      </c>
      <c r="B24" s="98" t="str">
        <f>'BD SHEET FROM COMPANY'!B23</f>
        <v>TYRE BUILDING HALL # 1 ( Precast)</v>
      </c>
      <c r="C24" s="29">
        <v>1</v>
      </c>
      <c r="D24" s="8" t="s">
        <v>158</v>
      </c>
      <c r="E24" s="9">
        <f>'BD SHEET FROM COMPANY'!K23</f>
        <v>33140.800000000003</v>
      </c>
      <c r="F24" s="16"/>
      <c r="G24" s="95">
        <f t="shared" si="4"/>
        <v>3078.8840476035643</v>
      </c>
      <c r="H24" s="10">
        <f>'BD SHEET FROM COMPANY'!E23</f>
        <v>18.303999999999998</v>
      </c>
      <c r="I24" s="30">
        <f t="shared" si="5"/>
        <v>5.5787869551965859</v>
      </c>
      <c r="J24" s="31">
        <f>'BD SHEET FROM COMPANY'!F23</f>
        <v>1998</v>
      </c>
      <c r="K24" s="11">
        <v>2022</v>
      </c>
      <c r="L24" s="10">
        <f t="shared" si="6"/>
        <v>24</v>
      </c>
      <c r="M24" s="11">
        <v>60</v>
      </c>
      <c r="N24" s="12">
        <v>0.1</v>
      </c>
      <c r="O24" s="13">
        <f t="shared" si="0"/>
        <v>1.5000000000000001E-2</v>
      </c>
      <c r="P24" s="25">
        <f>IF((H24&lt;=5),VLOOKUP(D24,'building rates'!$B$30:$H$54,2,FALSE),IF(AND(H24&gt;5,H24&lt;=12),VLOOKUP(D24,'building rates'!$B$30:$H$54,3,FALSE),IF(AND(H24&gt;12,H24&lt;=15),VLOOKUP(D24,'building rates'!$B$30:$H$54,4,FALSE),IF(AND(H24&gt;15,H24&lt;=20),VLOOKUP(D24,'building rates'!$B$30:$H$54,5,FALSE),IF(AND(H24&gt;20,H24&lt;=25),VLOOKUP(D24,'building rates'!$B$30:$H$54,6,FALSE),IF(H24&gt;25,VLOOKUP(D24,'building rates'!$B$30:$H$54,7,FALSE),0))))))</f>
        <v>1400</v>
      </c>
      <c r="Q24" s="14">
        <f t="shared" si="1"/>
        <v>46397120.000000007</v>
      </c>
      <c r="R24" s="14">
        <f t="shared" si="2"/>
        <v>16702963.200000003</v>
      </c>
      <c r="S24" s="14">
        <f t="shared" si="3"/>
        <v>29694156.800000004</v>
      </c>
      <c r="T24" s="15">
        <v>0.25</v>
      </c>
      <c r="U24" s="14">
        <f t="shared" si="7"/>
        <v>22270617.600000001</v>
      </c>
      <c r="V24" s="3">
        <f t="shared" si="8"/>
        <v>672</v>
      </c>
      <c r="W24" s="38"/>
      <c r="X24" s="40"/>
    </row>
    <row r="25" spans="1:24" ht="45" hidden="1" x14ac:dyDescent="0.25">
      <c r="A25" s="7">
        <v>20</v>
      </c>
      <c r="B25" s="98" t="str">
        <f>'BD SHEET FROM COMPANY'!B24</f>
        <v>TYRE BUILDING HALL # 2 ( Precast)</v>
      </c>
      <c r="C25" s="29">
        <v>1</v>
      </c>
      <c r="D25" s="8" t="s">
        <v>158</v>
      </c>
      <c r="E25" s="9">
        <f>'BD SHEET FROM COMPANY'!K24</f>
        <v>33140.800000000003</v>
      </c>
      <c r="F25" s="9"/>
      <c r="G25" s="95">
        <f t="shared" si="4"/>
        <v>3078.8840476035643</v>
      </c>
      <c r="H25" s="10">
        <f>'BD SHEET FROM COMPANY'!E24</f>
        <v>18.303999999999998</v>
      </c>
      <c r="I25" s="30">
        <f t="shared" si="5"/>
        <v>5.5787869551965859</v>
      </c>
      <c r="J25" s="31">
        <f>'BD SHEET FROM COMPANY'!F24</f>
        <v>2004</v>
      </c>
      <c r="K25" s="11">
        <v>2022</v>
      </c>
      <c r="L25" s="10">
        <f t="shared" si="6"/>
        <v>18</v>
      </c>
      <c r="M25" s="11">
        <v>60</v>
      </c>
      <c r="N25" s="12">
        <v>0.1</v>
      </c>
      <c r="O25" s="13">
        <f t="shared" si="0"/>
        <v>1.5000000000000001E-2</v>
      </c>
      <c r="P25" s="25">
        <f>IF((H25&lt;=5),VLOOKUP(D25,'building rates'!$B$30:$H$54,2,FALSE),IF(AND(H25&gt;5,H25&lt;=12),VLOOKUP(D25,'building rates'!$B$30:$H$54,3,FALSE),IF(AND(H25&gt;12,H25&lt;=15),VLOOKUP(D25,'building rates'!$B$30:$H$54,4,FALSE),IF(AND(H25&gt;15,H25&lt;=20),VLOOKUP(D25,'building rates'!$B$30:$H$54,5,FALSE),IF(AND(H25&gt;20,H25&lt;=25),VLOOKUP(D25,'building rates'!$B$30:$H$54,6,FALSE),IF(H25&gt;25,VLOOKUP(D25,'building rates'!$B$30:$H$54,7,FALSE),0))))))</f>
        <v>1400</v>
      </c>
      <c r="Q25" s="14">
        <f t="shared" si="1"/>
        <v>46397120.000000007</v>
      </c>
      <c r="R25" s="14">
        <f t="shared" si="2"/>
        <v>12527222.400000002</v>
      </c>
      <c r="S25" s="14">
        <f t="shared" si="3"/>
        <v>33869897.600000009</v>
      </c>
      <c r="T25" s="15">
        <v>0.25</v>
      </c>
      <c r="U25" s="14">
        <f t="shared" si="7"/>
        <v>25402423.200000007</v>
      </c>
      <c r="V25" s="3">
        <f t="shared" si="8"/>
        <v>766.50000000000011</v>
      </c>
      <c r="X25" s="40"/>
    </row>
    <row r="26" spans="1:24" ht="60" hidden="1" x14ac:dyDescent="0.25">
      <c r="A26" s="7">
        <v>21</v>
      </c>
      <c r="B26" s="98" t="str">
        <f>'BD SHEET FROM COMPANY'!B25</f>
        <v>TYRE BUILDING HALL # 3</v>
      </c>
      <c r="C26" s="29">
        <v>1</v>
      </c>
      <c r="D26" s="8" t="s">
        <v>159</v>
      </c>
      <c r="E26" s="9">
        <f>'BD SHEET FROM COMPANY'!K25</f>
        <v>33140.800000000003</v>
      </c>
      <c r="F26" s="9"/>
      <c r="G26" s="95">
        <f t="shared" si="4"/>
        <v>3078.8840476035643</v>
      </c>
      <c r="H26" s="10">
        <f>'BD SHEET FROM COMPANY'!E25</f>
        <v>16.64</v>
      </c>
      <c r="I26" s="30">
        <f t="shared" si="5"/>
        <v>5.071624504724169</v>
      </c>
      <c r="J26" s="31">
        <f>'BD SHEET FROM COMPANY'!F25</f>
        <v>2006</v>
      </c>
      <c r="K26" s="11">
        <v>2022</v>
      </c>
      <c r="L26" s="10">
        <f t="shared" si="6"/>
        <v>16</v>
      </c>
      <c r="M26" s="11">
        <v>40</v>
      </c>
      <c r="N26" s="12">
        <v>0.1</v>
      </c>
      <c r="O26" s="13">
        <f t="shared" si="0"/>
        <v>2.2499999999999999E-2</v>
      </c>
      <c r="P26" s="25">
        <f>IF((H26&lt;=5),VLOOKUP(D26,'building rates'!$B$30:$H$54,2,FALSE),IF(AND(H26&gt;5,H26&lt;=12),VLOOKUP(D26,'building rates'!$B$30:$H$54,3,FALSE),IF(AND(H26&gt;12,H26&lt;=15),VLOOKUP(D26,'building rates'!$B$30:$H$54,4,FALSE),IF(AND(H26&gt;15,H26&lt;=20),VLOOKUP(D26,'building rates'!$B$30:$H$54,5,FALSE),IF(AND(H26&gt;20,H26&lt;=25),VLOOKUP(D26,'building rates'!$B$30:$H$54,6,FALSE),IF(H26&gt;25,VLOOKUP(D26,'building rates'!$B$30:$H$54,7,FALSE),0))))))</f>
        <v>700</v>
      </c>
      <c r="Q26" s="14">
        <f t="shared" si="1"/>
        <v>23198560.000000004</v>
      </c>
      <c r="R26" s="14">
        <f t="shared" si="2"/>
        <v>8351481.6000000015</v>
      </c>
      <c r="S26" s="14">
        <f t="shared" si="3"/>
        <v>14847078.400000002</v>
      </c>
      <c r="T26" s="15">
        <v>0.25</v>
      </c>
      <c r="U26" s="14">
        <f t="shared" si="7"/>
        <v>11135308.800000001</v>
      </c>
      <c r="V26" s="3">
        <f t="shared" si="8"/>
        <v>336</v>
      </c>
      <c r="X26" s="40"/>
    </row>
    <row r="27" spans="1:24" ht="45" hidden="1" x14ac:dyDescent="0.25">
      <c r="A27" s="7">
        <v>22</v>
      </c>
      <c r="B27" s="98" t="str">
        <f>'BD SHEET FROM COMPANY'!B26</f>
        <v>GREEN TYRE STORAGE</v>
      </c>
      <c r="C27" s="29">
        <v>1</v>
      </c>
      <c r="D27" s="8" t="s">
        <v>163</v>
      </c>
      <c r="E27" s="9">
        <f>'BD SHEET FROM COMPANY'!K26</f>
        <v>39919.599999999999</v>
      </c>
      <c r="F27" s="9"/>
      <c r="G27" s="95">
        <f t="shared" si="4"/>
        <v>3708.6557846133837</v>
      </c>
      <c r="H27" s="10">
        <f>'BD SHEET FROM COMPANY'!E26</f>
        <v>23.295999999999999</v>
      </c>
      <c r="I27" s="30">
        <f t="shared" si="5"/>
        <v>7.1002743066138372</v>
      </c>
      <c r="J27" s="31">
        <f>'BD SHEET FROM COMPANY'!F26</f>
        <v>1991</v>
      </c>
      <c r="K27" s="11">
        <v>2022</v>
      </c>
      <c r="L27" s="10">
        <f t="shared" si="6"/>
        <v>31</v>
      </c>
      <c r="M27" s="11">
        <v>60</v>
      </c>
      <c r="N27" s="12">
        <v>0.1</v>
      </c>
      <c r="O27" s="13">
        <f t="shared" si="0"/>
        <v>1.5000000000000001E-2</v>
      </c>
      <c r="P27" s="25">
        <f>IF((H27&lt;=5),VLOOKUP(D27,'building rates'!$B$30:$H$54,2,FALSE),IF(AND(H27&gt;5,H27&lt;=12),VLOOKUP(D27,'building rates'!$B$30:$H$54,3,FALSE),IF(AND(H27&gt;12,H27&lt;=15),VLOOKUP(D27,'building rates'!$B$30:$H$54,4,FALSE),IF(AND(H27&gt;15,H27&lt;=20),VLOOKUP(D27,'building rates'!$B$30:$H$54,5,FALSE),IF(AND(H27&gt;20,H27&lt;=25),VLOOKUP(D27,'building rates'!$B$30:$H$54,6,FALSE),IF(H27&gt;25,VLOOKUP(D27,'building rates'!$B$30:$H$54,7,FALSE),0))))))</f>
        <v>1300</v>
      </c>
      <c r="Q27" s="14">
        <f t="shared" si="1"/>
        <v>51895480</v>
      </c>
      <c r="R27" s="14">
        <f t="shared" si="2"/>
        <v>24131398.200000003</v>
      </c>
      <c r="S27" s="14">
        <f t="shared" si="3"/>
        <v>27764081.799999997</v>
      </c>
      <c r="T27" s="15">
        <v>0.2</v>
      </c>
      <c r="U27" s="14">
        <f t="shared" si="7"/>
        <v>22211265.439999998</v>
      </c>
      <c r="V27" s="3">
        <f t="shared" si="8"/>
        <v>556.4</v>
      </c>
      <c r="X27" s="40"/>
    </row>
    <row r="28" spans="1:24" ht="45" hidden="1" x14ac:dyDescent="0.25">
      <c r="A28" s="7">
        <v>23</v>
      </c>
      <c r="B28" s="98" t="str">
        <f>'BD SHEET FROM COMPANY'!B27</f>
        <v>TYRE CURING # 1,2 &amp; FINAL FINISH</v>
      </c>
      <c r="C28" s="29">
        <v>1</v>
      </c>
      <c r="D28" s="8" t="s">
        <v>164</v>
      </c>
      <c r="E28" s="9">
        <f>'BD SHEET FROM COMPANY'!K27</f>
        <v>57996.4</v>
      </c>
      <c r="F28" s="9"/>
      <c r="G28" s="95">
        <f t="shared" si="4"/>
        <v>5388.0470833062373</v>
      </c>
      <c r="H28" s="10">
        <f>'BD SHEET FROM COMPANY'!E27</f>
        <v>23.295999999999999</v>
      </c>
      <c r="I28" s="30">
        <f t="shared" si="5"/>
        <v>7.1002743066138372</v>
      </c>
      <c r="J28" s="31">
        <f>'BD SHEET FROM COMPANY'!F27</f>
        <v>1991</v>
      </c>
      <c r="K28" s="11">
        <v>2022</v>
      </c>
      <c r="L28" s="10">
        <f t="shared" si="6"/>
        <v>31</v>
      </c>
      <c r="M28" s="11">
        <v>60</v>
      </c>
      <c r="N28" s="12">
        <v>0.1</v>
      </c>
      <c r="O28" s="13">
        <f t="shared" si="0"/>
        <v>1.5000000000000001E-2</v>
      </c>
      <c r="P28" s="25">
        <f>IF((H28&lt;=5),VLOOKUP(D28,'building rates'!$B$30:$H$54,2,FALSE),IF(AND(H28&gt;5,H28&lt;=12),VLOOKUP(D28,'building rates'!$B$30:$H$54,3,FALSE),IF(AND(H28&gt;12,H28&lt;=15),VLOOKUP(D28,'building rates'!$B$30:$H$54,4,FALSE),IF(AND(H28&gt;15,H28&lt;=20),VLOOKUP(D28,'building rates'!$B$30:$H$54,5,FALSE),IF(AND(H28&gt;20,H28&lt;=25),VLOOKUP(D28,'building rates'!$B$30:$H$54,6,FALSE),IF(H28&gt;25,VLOOKUP(D28,'building rates'!$B$30:$H$54,7,FALSE),0))))))</f>
        <v>1500</v>
      </c>
      <c r="Q28" s="14">
        <f t="shared" si="1"/>
        <v>86994600</v>
      </c>
      <c r="R28" s="14">
        <f t="shared" si="2"/>
        <v>40452489</v>
      </c>
      <c r="S28" s="14">
        <f t="shared" si="3"/>
        <v>46542111</v>
      </c>
      <c r="T28" s="15">
        <v>0.3</v>
      </c>
      <c r="U28" s="14">
        <f t="shared" si="7"/>
        <v>32579477.699999999</v>
      </c>
      <c r="V28" s="3">
        <f t="shared" si="8"/>
        <v>561.75</v>
      </c>
      <c r="X28" s="40"/>
    </row>
    <row r="29" spans="1:24" ht="45" hidden="1" x14ac:dyDescent="0.25">
      <c r="A29" s="7">
        <v>24</v>
      </c>
      <c r="B29" s="98" t="str">
        <f>'BD SHEET FROM COMPANY'!B28</f>
        <v>TYRE CURING # 4 &amp; FINAL FINISH, (PRECAST COFFER SLAB)</v>
      </c>
      <c r="C29" s="29">
        <v>1</v>
      </c>
      <c r="D29" s="8" t="s">
        <v>161</v>
      </c>
      <c r="E29" s="9">
        <f>'BD SHEET FROM COMPANY'!K28</f>
        <v>28998.2</v>
      </c>
      <c r="F29" s="9"/>
      <c r="G29" s="95">
        <f t="shared" si="4"/>
        <v>2694.0235416531186</v>
      </c>
      <c r="H29" s="10">
        <f>'BD SHEET FROM COMPANY'!E28</f>
        <v>23.295999999999999</v>
      </c>
      <c r="I29" s="30">
        <f t="shared" si="5"/>
        <v>7.1002743066138372</v>
      </c>
      <c r="J29" s="31">
        <f>'BD SHEET FROM COMPANY'!F28</f>
        <v>1991</v>
      </c>
      <c r="K29" s="11">
        <v>2022</v>
      </c>
      <c r="L29" s="10">
        <f t="shared" si="6"/>
        <v>31</v>
      </c>
      <c r="M29" s="11">
        <v>60</v>
      </c>
      <c r="N29" s="12">
        <v>0.1</v>
      </c>
      <c r="O29" s="13">
        <f t="shared" si="0"/>
        <v>1.5000000000000001E-2</v>
      </c>
      <c r="P29" s="25">
        <f>IF((H29&lt;=5),VLOOKUP(D29,'building rates'!$B$30:$H$54,2,FALSE),IF(AND(H29&gt;5,H29&lt;=12),VLOOKUP(D29,'building rates'!$B$30:$H$54,3,FALSE),IF(AND(H29&gt;12,H29&lt;=15),VLOOKUP(D29,'building rates'!$B$30:$H$54,4,FALSE),IF(AND(H29&gt;15,H29&lt;=20),VLOOKUP(D29,'building rates'!$B$30:$H$54,5,FALSE),IF(AND(H29&gt;20,H29&lt;=25),VLOOKUP(D29,'building rates'!$B$30:$H$54,6,FALSE),IF(H29&gt;25,VLOOKUP(D29,'building rates'!$B$30:$H$54,7,FALSE),0))))))</f>
        <v>1300</v>
      </c>
      <c r="Q29" s="14">
        <f t="shared" si="1"/>
        <v>37697660</v>
      </c>
      <c r="R29" s="14">
        <f t="shared" si="2"/>
        <v>17529411.900000002</v>
      </c>
      <c r="S29" s="14">
        <f t="shared" si="3"/>
        <v>20168248.099999998</v>
      </c>
      <c r="T29" s="15">
        <v>0.3</v>
      </c>
      <c r="U29" s="14">
        <f t="shared" si="7"/>
        <v>14117773.669999998</v>
      </c>
      <c r="V29" s="3">
        <f t="shared" si="8"/>
        <v>486.84999999999991</v>
      </c>
      <c r="X29" s="40"/>
    </row>
    <row r="30" spans="1:24" ht="45" hidden="1" x14ac:dyDescent="0.25">
      <c r="A30" s="7">
        <v>25</v>
      </c>
      <c r="B30" s="98" t="str">
        <f>'BD SHEET FROM COMPANY'!B29</f>
        <v>TYRE CURING # 5 &amp; FINAL FINISH, (PRECAST COFFER SLAB)</v>
      </c>
      <c r="C30" s="29">
        <v>1</v>
      </c>
      <c r="D30" s="8" t="s">
        <v>161</v>
      </c>
      <c r="E30" s="9">
        <f>'BD SHEET FROM COMPANY'!K29</f>
        <v>28998.2</v>
      </c>
      <c r="F30" s="9"/>
      <c r="G30" s="95">
        <f t="shared" si="4"/>
        <v>2694.0235416531186</v>
      </c>
      <c r="H30" s="10">
        <f>'BD SHEET FROM COMPANY'!E29</f>
        <v>23.295999999999999</v>
      </c>
      <c r="I30" s="30">
        <f t="shared" si="5"/>
        <v>7.1002743066138372</v>
      </c>
      <c r="J30" s="31">
        <f>'BD SHEET FROM COMPANY'!F29</f>
        <v>2004</v>
      </c>
      <c r="K30" s="11">
        <v>2022</v>
      </c>
      <c r="L30" s="10">
        <f t="shared" si="6"/>
        <v>18</v>
      </c>
      <c r="M30" s="11">
        <v>60</v>
      </c>
      <c r="N30" s="12">
        <v>0.1</v>
      </c>
      <c r="O30" s="13">
        <f t="shared" si="0"/>
        <v>1.5000000000000001E-2</v>
      </c>
      <c r="P30" s="25">
        <f>IF((H30&lt;=5),VLOOKUP(D30,'building rates'!$B$30:$H$54,2,FALSE),IF(AND(H30&gt;5,H30&lt;=12),VLOOKUP(D30,'building rates'!$B$30:$H$54,3,FALSE),IF(AND(H30&gt;12,H30&lt;=15),VLOOKUP(D30,'building rates'!$B$30:$H$54,4,FALSE),IF(AND(H30&gt;15,H30&lt;=20),VLOOKUP(D30,'building rates'!$B$30:$H$54,5,FALSE),IF(AND(H30&gt;20,H30&lt;=25),VLOOKUP(D30,'building rates'!$B$30:$H$54,6,FALSE),IF(H30&gt;25,VLOOKUP(D30,'building rates'!$B$30:$H$54,7,FALSE),0))))))</f>
        <v>1300</v>
      </c>
      <c r="Q30" s="14">
        <f t="shared" si="1"/>
        <v>37697660</v>
      </c>
      <c r="R30" s="14">
        <f t="shared" si="2"/>
        <v>10178368.200000001</v>
      </c>
      <c r="S30" s="14">
        <f t="shared" si="3"/>
        <v>27519291.799999997</v>
      </c>
      <c r="T30" s="15">
        <v>0.3</v>
      </c>
      <c r="U30" s="14">
        <f t="shared" si="7"/>
        <v>19263504.259999998</v>
      </c>
      <c r="V30" s="3">
        <f t="shared" si="8"/>
        <v>664.3</v>
      </c>
    </row>
    <row r="31" spans="1:24" ht="60" hidden="1" x14ac:dyDescent="0.25">
      <c r="A31" s="7">
        <v>26</v>
      </c>
      <c r="B31" s="98" t="str">
        <f>'BD SHEET FROM COMPANY'!B30</f>
        <v>TYRE CURING # 6 &amp; FINAL FINISH</v>
      </c>
      <c r="C31" s="29">
        <v>1</v>
      </c>
      <c r="D31" s="8" t="s">
        <v>159</v>
      </c>
      <c r="E31" s="9">
        <f>'BD SHEET FROM COMPANY'!K30</f>
        <v>28998.2</v>
      </c>
      <c r="F31" s="9"/>
      <c r="G31" s="95">
        <f t="shared" si="4"/>
        <v>2694.0235416531186</v>
      </c>
      <c r="H31" s="10">
        <f>'BD SHEET FROM COMPANY'!E30</f>
        <v>23.295999999999999</v>
      </c>
      <c r="I31" s="30">
        <f t="shared" si="5"/>
        <v>7.1002743066138372</v>
      </c>
      <c r="J31" s="31">
        <f>'BD SHEET FROM COMPANY'!F30</f>
        <v>2006</v>
      </c>
      <c r="K31" s="11">
        <v>2022</v>
      </c>
      <c r="L31" s="10">
        <f t="shared" si="6"/>
        <v>16</v>
      </c>
      <c r="M31" s="11">
        <v>40</v>
      </c>
      <c r="N31" s="12">
        <v>0.1</v>
      </c>
      <c r="O31" s="13">
        <f t="shared" si="0"/>
        <v>2.2499999999999999E-2</v>
      </c>
      <c r="P31" s="25">
        <f>IF((H31&lt;=5),VLOOKUP(D31,'building rates'!$B$30:$H$54,2,FALSE),IF(AND(H31&gt;5,H31&lt;=12),VLOOKUP(D31,'building rates'!$B$30:$H$54,3,FALSE),IF(AND(H31&gt;12,H31&lt;=15),VLOOKUP(D31,'building rates'!$B$30:$H$54,4,FALSE),IF(AND(H31&gt;15,H31&lt;=20),VLOOKUP(D31,'building rates'!$B$30:$H$54,5,FALSE),IF(AND(H31&gt;20,H31&lt;=25),VLOOKUP(D31,'building rates'!$B$30:$H$54,6,FALSE),IF(H31&gt;25,VLOOKUP(D31,'building rates'!$B$30:$H$54,7,FALSE),0))))))</f>
        <v>900</v>
      </c>
      <c r="Q31" s="14">
        <f t="shared" si="1"/>
        <v>26098380</v>
      </c>
      <c r="R31" s="14">
        <f t="shared" si="2"/>
        <v>9395416.7999999989</v>
      </c>
      <c r="S31" s="14">
        <f t="shared" si="3"/>
        <v>16702963.200000001</v>
      </c>
      <c r="T31" s="15">
        <v>0.3</v>
      </c>
      <c r="U31" s="14">
        <f t="shared" si="7"/>
        <v>11692074.24</v>
      </c>
      <c r="V31" s="3">
        <f t="shared" si="8"/>
        <v>403.2</v>
      </c>
    </row>
    <row r="32" spans="1:24" ht="60" hidden="1" x14ac:dyDescent="0.25">
      <c r="A32" s="7">
        <v>27</v>
      </c>
      <c r="B32" s="98" t="str">
        <f>'BD SHEET FROM COMPANY'!B31</f>
        <v>TYRE INSPECTION (MEZZ. FLOOR)</v>
      </c>
      <c r="C32" s="29">
        <v>1</v>
      </c>
      <c r="D32" s="8" t="s">
        <v>165</v>
      </c>
      <c r="E32" s="9">
        <f>'BD SHEET FROM COMPANY'!K31</f>
        <v>55925.1</v>
      </c>
      <c r="F32" s="9"/>
      <c r="G32" s="95">
        <f t="shared" si="4"/>
        <v>5195.6168303310142</v>
      </c>
      <c r="H32" s="10">
        <f>'BD SHEET FROM COMPANY'!E31</f>
        <v>23.295999999999999</v>
      </c>
      <c r="I32" s="30">
        <f t="shared" si="5"/>
        <v>7.1002743066138372</v>
      </c>
      <c r="J32" s="31">
        <f>'BD SHEET FROM COMPANY'!F31</f>
        <v>2006</v>
      </c>
      <c r="K32" s="11">
        <v>2022</v>
      </c>
      <c r="L32" s="10">
        <f t="shared" si="6"/>
        <v>16</v>
      </c>
      <c r="M32" s="11">
        <v>40</v>
      </c>
      <c r="N32" s="12">
        <v>0.1</v>
      </c>
      <c r="O32" s="13">
        <f t="shared" si="0"/>
        <v>2.2499999999999999E-2</v>
      </c>
      <c r="P32" s="25">
        <f>IF((H32&lt;=5),VLOOKUP(D32,'building rates'!$B$30:$H$54,2,FALSE),IF(AND(H32&gt;5,H32&lt;=12),VLOOKUP(D32,'building rates'!$B$30:$H$54,3,FALSE),IF(AND(H32&gt;12,H32&lt;=15),VLOOKUP(D32,'building rates'!$B$30:$H$54,4,FALSE),IF(AND(H32&gt;15,H32&lt;=20),VLOOKUP(D32,'building rates'!$B$30:$H$54,5,FALSE),IF(AND(H32&gt;20,H32&lt;=25),VLOOKUP(D32,'building rates'!$B$30:$H$54,6,FALSE),IF(H32&gt;25,VLOOKUP(D32,'building rates'!$B$30:$H$54,7,FALSE),0))))))</f>
        <v>900</v>
      </c>
      <c r="Q32" s="14">
        <f t="shared" si="1"/>
        <v>50332590</v>
      </c>
      <c r="R32" s="14">
        <f t="shared" si="2"/>
        <v>18119732.399999999</v>
      </c>
      <c r="S32" s="14">
        <f t="shared" si="3"/>
        <v>32212857.600000001</v>
      </c>
      <c r="T32" s="15">
        <v>0.2</v>
      </c>
      <c r="U32" s="14">
        <f t="shared" si="7"/>
        <v>25770286.080000002</v>
      </c>
      <c r="V32" s="3">
        <f t="shared" si="8"/>
        <v>460.80000000000007</v>
      </c>
    </row>
    <row r="33" spans="1:22" ht="45" hidden="1" x14ac:dyDescent="0.25">
      <c r="A33" s="7">
        <v>28</v>
      </c>
      <c r="B33" s="98" t="str">
        <f>'BD SHEET FROM COMPANY'!B32</f>
        <v>FGWH # 1,2 (GROUND FLOOR)</v>
      </c>
      <c r="C33" s="29">
        <v>1</v>
      </c>
      <c r="D33" s="8" t="s">
        <v>162</v>
      </c>
      <c r="E33" s="9">
        <f>'BD SHEET FROM COMPANY'!K32</f>
        <v>12427.8</v>
      </c>
      <c r="F33" s="9"/>
      <c r="G33" s="95">
        <f t="shared" si="4"/>
        <v>1154.5815178513365</v>
      </c>
      <c r="H33" s="10">
        <f>'BD SHEET FROM COMPANY'!E32</f>
        <v>9.3183999999999987</v>
      </c>
      <c r="I33" s="30">
        <f t="shared" si="5"/>
        <v>2.8401097226455345</v>
      </c>
      <c r="J33" s="31">
        <f>'BD SHEET FROM COMPANY'!F32</f>
        <v>1991</v>
      </c>
      <c r="K33" s="11">
        <v>2022</v>
      </c>
      <c r="L33" s="10">
        <f t="shared" si="6"/>
        <v>31</v>
      </c>
      <c r="M33" s="11">
        <v>60</v>
      </c>
      <c r="N33" s="12">
        <v>0.1</v>
      </c>
      <c r="O33" s="13">
        <f t="shared" si="0"/>
        <v>1.5000000000000001E-2</v>
      </c>
      <c r="P33" s="25">
        <f>IF((H33&lt;=5),VLOOKUP(D33,'building rates'!$B$30:$H$54,2,FALSE),IF(AND(H33&gt;5,H33&lt;=12),VLOOKUP(D33,'building rates'!$B$30:$H$54,3,FALSE),IF(AND(H33&gt;12,H33&lt;=15),VLOOKUP(D33,'building rates'!$B$30:$H$54,4,FALSE),IF(AND(H33&gt;15,H33&lt;=20),VLOOKUP(D33,'building rates'!$B$30:$H$54,5,FALSE),IF(AND(H33&gt;20,H33&lt;=25),VLOOKUP(D33,'building rates'!$B$30:$H$54,6,FALSE),IF(H33&gt;25,VLOOKUP(D33,'building rates'!$B$30:$H$54,7,FALSE),0))))))</f>
        <v>600</v>
      </c>
      <c r="Q33" s="14">
        <f t="shared" si="1"/>
        <v>7456680</v>
      </c>
      <c r="R33" s="14">
        <f t="shared" si="2"/>
        <v>3467356.2</v>
      </c>
      <c r="S33" s="14">
        <f t="shared" si="3"/>
        <v>3989323.8</v>
      </c>
      <c r="T33" s="15">
        <v>0.2</v>
      </c>
      <c r="U33" s="14">
        <f t="shared" si="7"/>
        <v>3191459.04</v>
      </c>
      <c r="V33" s="3">
        <f t="shared" si="8"/>
        <v>256.8</v>
      </c>
    </row>
    <row r="34" spans="1:22" ht="45" hidden="1" x14ac:dyDescent="0.25">
      <c r="A34" s="7">
        <v>29</v>
      </c>
      <c r="B34" s="98" t="str">
        <f>'BD SHEET FROM COMPANY'!B33</f>
        <v>FGWH # 1,2 (MEZZ. FLOOR), STRUCTURAL</v>
      </c>
      <c r="C34" s="29">
        <v>1</v>
      </c>
      <c r="D34" s="8" t="s">
        <v>166</v>
      </c>
      <c r="E34" s="9">
        <f>'BD SHEET FROM COMPANY'!K33</f>
        <v>20713</v>
      </c>
      <c r="F34" s="9"/>
      <c r="G34" s="95">
        <f t="shared" si="4"/>
        <v>1924.3025297522274</v>
      </c>
      <c r="H34" s="10">
        <f>'BD SHEET FROM COMPANY'!E33</f>
        <v>29.951999999999998</v>
      </c>
      <c r="I34" s="30">
        <f t="shared" si="5"/>
        <v>9.1289241085035044</v>
      </c>
      <c r="J34" s="31">
        <f>'BD SHEET FROM COMPANY'!F33</f>
        <v>1991</v>
      </c>
      <c r="K34" s="11">
        <v>2022</v>
      </c>
      <c r="L34" s="10">
        <f t="shared" si="6"/>
        <v>31</v>
      </c>
      <c r="M34" s="11">
        <v>30</v>
      </c>
      <c r="N34" s="12">
        <v>0.1</v>
      </c>
      <c r="O34" s="13">
        <f t="shared" si="0"/>
        <v>3.0000000000000002E-2</v>
      </c>
      <c r="P34" s="25">
        <v>800</v>
      </c>
      <c r="Q34" s="14">
        <f t="shared" si="1"/>
        <v>16570400</v>
      </c>
      <c r="R34" s="14">
        <f t="shared" si="2"/>
        <v>15410472.000000002</v>
      </c>
      <c r="S34" s="14">
        <f t="shared" si="3"/>
        <v>1159927.9999999981</v>
      </c>
      <c r="T34" s="15">
        <v>0.2</v>
      </c>
      <c r="U34" s="14">
        <f t="shared" si="7"/>
        <v>1657040</v>
      </c>
      <c r="V34" s="3">
        <f t="shared" si="8"/>
        <v>80</v>
      </c>
    </row>
    <row r="35" spans="1:22" ht="45" hidden="1" x14ac:dyDescent="0.25">
      <c r="A35" s="7">
        <v>30</v>
      </c>
      <c r="B35" s="98" t="str">
        <f>'BD SHEET FROM COMPANY'!B34</f>
        <v>FGWH # 3  (GROUND FLOOR)</v>
      </c>
      <c r="C35" s="29">
        <v>1</v>
      </c>
      <c r="D35" s="8" t="s">
        <v>162</v>
      </c>
      <c r="E35" s="9">
        <f>'BD SHEET FROM COMPANY'!K34</f>
        <v>6213.9</v>
      </c>
      <c r="F35" s="9"/>
      <c r="G35" s="95">
        <f t="shared" si="4"/>
        <v>577.29075892566823</v>
      </c>
      <c r="H35" s="10">
        <f>'BD SHEET FROM COMPANY'!E34</f>
        <v>9.3183999999999987</v>
      </c>
      <c r="I35" s="30">
        <f t="shared" si="5"/>
        <v>2.8401097226455345</v>
      </c>
      <c r="J35" s="31">
        <f>'BD SHEET FROM COMPANY'!F34</f>
        <v>2004</v>
      </c>
      <c r="K35" s="11">
        <v>2022</v>
      </c>
      <c r="L35" s="10">
        <f t="shared" si="6"/>
        <v>18</v>
      </c>
      <c r="M35" s="11">
        <v>60</v>
      </c>
      <c r="N35" s="12">
        <v>0.1</v>
      </c>
      <c r="O35" s="13">
        <f t="shared" si="0"/>
        <v>1.5000000000000001E-2</v>
      </c>
      <c r="P35" s="25">
        <f>IF((H35&lt;=5),VLOOKUP(D35,'building rates'!$B$30:$H$54,2,FALSE),IF(AND(H35&gt;5,H35&lt;=12),VLOOKUP(D35,'building rates'!$B$30:$H$54,3,FALSE),IF(AND(H35&gt;12,H35&lt;=15),VLOOKUP(D35,'building rates'!$B$30:$H$54,4,FALSE),IF(AND(H35&gt;15,H35&lt;=20),VLOOKUP(D35,'building rates'!$B$30:$H$54,5,FALSE),IF(AND(H35&gt;20,H35&lt;=25),VLOOKUP(D35,'building rates'!$B$30:$H$54,6,FALSE),IF(H35&gt;25,VLOOKUP(D35,'building rates'!$B$30:$H$54,7,FALSE),0))))))</f>
        <v>600</v>
      </c>
      <c r="Q35" s="14">
        <f t="shared" si="1"/>
        <v>3728340</v>
      </c>
      <c r="R35" s="14">
        <f t="shared" si="2"/>
        <v>1006651.8</v>
      </c>
      <c r="S35" s="14">
        <f t="shared" si="3"/>
        <v>2721688.2</v>
      </c>
      <c r="T35" s="15">
        <v>0.2</v>
      </c>
      <c r="U35" s="14">
        <f t="shared" si="7"/>
        <v>2177350.56</v>
      </c>
      <c r="V35" s="3">
        <f t="shared" si="8"/>
        <v>350.40000000000003</v>
      </c>
    </row>
    <row r="36" spans="1:22" ht="45" hidden="1" x14ac:dyDescent="0.25">
      <c r="A36" s="7">
        <v>31</v>
      </c>
      <c r="B36" s="98" t="str">
        <f>'BD SHEET FROM COMPANY'!B35</f>
        <v xml:space="preserve">FGWH # 3  (MEZZ. FLOOR), RCC </v>
      </c>
      <c r="C36" s="29">
        <v>1</v>
      </c>
      <c r="D36" s="8" t="s">
        <v>166</v>
      </c>
      <c r="E36" s="9">
        <f>'BD SHEET FROM COMPANY'!K35</f>
        <v>10356.5</v>
      </c>
      <c r="F36" s="9"/>
      <c r="G36" s="95">
        <f t="shared" si="4"/>
        <v>962.15126487611371</v>
      </c>
      <c r="H36" s="10">
        <f>'BD SHEET FROM COMPANY'!E35</f>
        <v>29.951999999999998</v>
      </c>
      <c r="I36" s="30">
        <f t="shared" si="5"/>
        <v>9.1289241085035044</v>
      </c>
      <c r="J36" s="31">
        <f>'BD SHEET FROM COMPANY'!F35</f>
        <v>2004</v>
      </c>
      <c r="K36" s="11">
        <v>2022</v>
      </c>
      <c r="L36" s="10">
        <f t="shared" si="6"/>
        <v>18</v>
      </c>
      <c r="M36" s="11">
        <v>30</v>
      </c>
      <c r="N36" s="12">
        <v>0.1</v>
      </c>
      <c r="O36" s="13">
        <f t="shared" si="0"/>
        <v>3.0000000000000002E-2</v>
      </c>
      <c r="P36" s="25">
        <v>800</v>
      </c>
      <c r="Q36" s="14">
        <f t="shared" si="1"/>
        <v>8285200</v>
      </c>
      <c r="R36" s="14">
        <f t="shared" si="2"/>
        <v>4474008.0000000009</v>
      </c>
      <c r="S36" s="14">
        <f t="shared" si="3"/>
        <v>3811191.9999999991</v>
      </c>
      <c r="T36" s="15">
        <v>0.2</v>
      </c>
      <c r="U36" s="14">
        <f t="shared" si="7"/>
        <v>3048953.5999999996</v>
      </c>
      <c r="V36" s="3">
        <f t="shared" si="8"/>
        <v>294.39999999999998</v>
      </c>
    </row>
    <row r="37" spans="1:22" ht="45" hidden="1" x14ac:dyDescent="0.25">
      <c r="A37" s="7">
        <v>32</v>
      </c>
      <c r="B37" s="98" t="str">
        <f>'BD SHEET FROM COMPANY'!B36</f>
        <v xml:space="preserve">FGWH # 4  (GROUND FLOOR) </v>
      </c>
      <c r="C37" s="29">
        <v>1</v>
      </c>
      <c r="D37" s="8" t="s">
        <v>158</v>
      </c>
      <c r="E37" s="9">
        <f>'BD SHEET FROM COMPANY'!K36</f>
        <v>16570.400000000001</v>
      </c>
      <c r="F37" s="9"/>
      <c r="G37" s="95">
        <f t="shared" si="4"/>
        <v>1539.4420238017822</v>
      </c>
      <c r="H37" s="10">
        <f>'BD SHEET FROM COMPANY'!E36</f>
        <v>9.984</v>
      </c>
      <c r="I37" s="30">
        <f t="shared" si="5"/>
        <v>3.0429747028345013</v>
      </c>
      <c r="J37" s="31">
        <f>'BD SHEET FROM COMPANY'!F36</f>
        <v>2006</v>
      </c>
      <c r="K37" s="11">
        <v>2022</v>
      </c>
      <c r="L37" s="10">
        <f t="shared" si="6"/>
        <v>16</v>
      </c>
      <c r="M37" s="11">
        <v>60</v>
      </c>
      <c r="N37" s="12">
        <v>0.1</v>
      </c>
      <c r="O37" s="13">
        <f t="shared" si="0"/>
        <v>1.5000000000000001E-2</v>
      </c>
      <c r="P37" s="25">
        <f>IF((H37&lt;=5),VLOOKUP(D37,'building rates'!$B$30:$H$54,2,FALSE),IF(AND(H37&gt;5,H37&lt;=12),VLOOKUP(D37,'building rates'!$B$30:$H$54,3,FALSE),IF(AND(H37&gt;12,H37&lt;=15),VLOOKUP(D37,'building rates'!$B$30:$H$54,4,FALSE),IF(AND(H37&gt;15,H37&lt;=20),VLOOKUP(D37,'building rates'!$B$30:$H$54,5,FALSE),IF(AND(H37&gt;20,H37&lt;=25),VLOOKUP(D37,'building rates'!$B$30:$H$54,6,FALSE),IF(H37&gt;25,VLOOKUP(D37,'building rates'!$B$30:$H$54,7,FALSE),0))))))</f>
        <v>1000</v>
      </c>
      <c r="Q37" s="14">
        <f t="shared" si="1"/>
        <v>16570400.000000002</v>
      </c>
      <c r="R37" s="14">
        <f t="shared" si="2"/>
        <v>3976896.0000000009</v>
      </c>
      <c r="S37" s="14">
        <f t="shared" si="3"/>
        <v>12593504</v>
      </c>
      <c r="T37" s="15">
        <v>0.25</v>
      </c>
      <c r="U37" s="14">
        <f t="shared" si="7"/>
        <v>9445128</v>
      </c>
      <c r="V37" s="3">
        <f t="shared" si="8"/>
        <v>570</v>
      </c>
    </row>
    <row r="38" spans="1:22" ht="45" hidden="1" x14ac:dyDescent="0.25">
      <c r="A38" s="7">
        <v>33</v>
      </c>
      <c r="B38" s="98" t="str">
        <f>'BD SHEET FROM COMPANY'!B37</f>
        <v>FGWH # 4  (MEZZ. FLOOR), RCC</v>
      </c>
      <c r="C38" s="29">
        <v>1</v>
      </c>
      <c r="D38" s="8" t="s">
        <v>167</v>
      </c>
      <c r="E38" s="9">
        <f>'BD SHEET FROM COMPANY'!K37</f>
        <v>16570.400000000001</v>
      </c>
      <c r="F38" s="9"/>
      <c r="G38" s="95">
        <f t="shared" si="4"/>
        <v>1539.4420238017822</v>
      </c>
      <c r="H38" s="10">
        <f>'BD SHEET FROM COMPANY'!E37</f>
        <v>29.951999999999998</v>
      </c>
      <c r="I38" s="30">
        <f t="shared" si="5"/>
        <v>9.1289241085035044</v>
      </c>
      <c r="J38" s="31">
        <f>'BD SHEET FROM COMPANY'!F37</f>
        <v>2006</v>
      </c>
      <c r="K38" s="11">
        <v>2022</v>
      </c>
      <c r="L38" s="10">
        <f t="shared" si="6"/>
        <v>16</v>
      </c>
      <c r="M38" s="11">
        <v>60</v>
      </c>
      <c r="N38" s="12">
        <v>0.1</v>
      </c>
      <c r="O38" s="13">
        <f t="shared" si="0"/>
        <v>1.5000000000000001E-2</v>
      </c>
      <c r="P38" s="25">
        <f>IF((H38&lt;=5),VLOOKUP(D38,'building rates'!$B$30:$H$54,2,FALSE),IF(AND(H38&gt;5,H38&lt;=12),VLOOKUP(D38,'building rates'!$B$30:$H$54,3,FALSE),IF(AND(H38&gt;12,H38&lt;=15),VLOOKUP(D38,'building rates'!$B$30:$H$54,4,FALSE),IF(AND(H38&gt;15,H38&lt;=20),VLOOKUP(D38,'building rates'!$B$30:$H$54,5,FALSE),IF(AND(H38&gt;20,H38&lt;=25),VLOOKUP(D38,'building rates'!$B$30:$H$54,6,FALSE),IF(H38&gt;25,VLOOKUP(D38,'building rates'!$B$30:$H$54,7,FALSE),0))))))</f>
        <v>1000</v>
      </c>
      <c r="Q38" s="14">
        <f t="shared" si="1"/>
        <v>16570400.000000002</v>
      </c>
      <c r="R38" s="14">
        <f t="shared" si="2"/>
        <v>3976896.0000000009</v>
      </c>
      <c r="S38" s="14">
        <f t="shared" si="3"/>
        <v>12593504</v>
      </c>
      <c r="T38" s="15">
        <v>0.2</v>
      </c>
      <c r="U38" s="14">
        <f t="shared" si="7"/>
        <v>10074803.200000001</v>
      </c>
      <c r="V38" s="3">
        <f t="shared" si="8"/>
        <v>608</v>
      </c>
    </row>
    <row r="39" spans="1:22" ht="60" hidden="1" x14ac:dyDescent="0.25">
      <c r="A39" s="7">
        <v>34</v>
      </c>
      <c r="B39" s="98" t="str">
        <f>'BD SHEET FROM COMPANY'!B38</f>
        <v>FGWH # 5</v>
      </c>
      <c r="C39" s="29">
        <v>1</v>
      </c>
      <c r="D39" s="8" t="s">
        <v>168</v>
      </c>
      <c r="E39" s="9">
        <f>'BD SHEET FROM COMPANY'!K38</f>
        <v>14499.1</v>
      </c>
      <c r="F39" s="16"/>
      <c r="G39" s="95">
        <f t="shared" si="4"/>
        <v>1347.0117708265593</v>
      </c>
      <c r="H39" s="10">
        <f>'BD SHEET FROM COMPANY'!E38</f>
        <v>29.951999999999998</v>
      </c>
      <c r="I39" s="30">
        <f t="shared" si="5"/>
        <v>9.1289241085035044</v>
      </c>
      <c r="J39" s="31">
        <f>'BD SHEET FROM COMPANY'!F38</f>
        <v>2011</v>
      </c>
      <c r="K39" s="11">
        <v>2022</v>
      </c>
      <c r="L39" s="10">
        <f t="shared" si="6"/>
        <v>11</v>
      </c>
      <c r="M39" s="11">
        <v>30</v>
      </c>
      <c r="N39" s="12">
        <v>0.1</v>
      </c>
      <c r="O39" s="13">
        <f t="shared" si="0"/>
        <v>3.0000000000000002E-2</v>
      </c>
      <c r="P39" s="25">
        <f>IF((H39&lt;=5),VLOOKUP(D39,'building rates'!$B$30:$H$54,2,FALSE),IF(AND(H39&gt;5,H39&lt;=12),VLOOKUP(D39,'building rates'!$B$30:$H$54,3,FALSE),IF(AND(H39&gt;12,H39&lt;=15),VLOOKUP(D39,'building rates'!$B$30:$H$54,4,FALSE),IF(AND(H39&gt;15,H39&lt;=20),VLOOKUP(D39,'building rates'!$B$30:$H$54,5,FALSE),IF(AND(H39&gt;20,H39&lt;=25),VLOOKUP(D39,'building rates'!$B$30:$H$54,6,FALSE),IF(H39&gt;25,VLOOKUP(D39,'building rates'!$B$30:$H$54,7,FALSE),0))))))</f>
        <v>1000</v>
      </c>
      <c r="Q39" s="14">
        <f t="shared" si="1"/>
        <v>14499100</v>
      </c>
      <c r="R39" s="14">
        <f t="shared" si="2"/>
        <v>4784703.0000000009</v>
      </c>
      <c r="S39" s="14">
        <f t="shared" si="3"/>
        <v>9714397</v>
      </c>
      <c r="T39" s="15">
        <v>0.25</v>
      </c>
      <c r="U39" s="14">
        <f t="shared" si="7"/>
        <v>7285797.75</v>
      </c>
      <c r="V39" s="3">
        <f t="shared" si="8"/>
        <v>502.5</v>
      </c>
    </row>
    <row r="40" spans="1:22" ht="45" hidden="1" x14ac:dyDescent="0.25">
      <c r="A40" s="7">
        <v>35</v>
      </c>
      <c r="B40" s="98" t="str">
        <f>'BD SHEET FROM COMPANY'!B39</f>
        <v>ANNEXE GROUND  FLOOR</v>
      </c>
      <c r="C40" s="29">
        <v>1</v>
      </c>
      <c r="D40" s="8" t="s">
        <v>158</v>
      </c>
      <c r="E40" s="9">
        <f>'BD SHEET FROM COMPANY'!K39</f>
        <v>57727.4</v>
      </c>
      <c r="F40" s="9"/>
      <c r="G40" s="95">
        <f t="shared" si="4"/>
        <v>5363.0561413614032</v>
      </c>
      <c r="H40" s="10">
        <f>'BD SHEET FROM COMPANY'!E39</f>
        <v>11.648</v>
      </c>
      <c r="I40" s="30">
        <f t="shared" si="5"/>
        <v>3.5501371533069186</v>
      </c>
      <c r="J40" s="31">
        <f>'BD SHEET FROM COMPANY'!F39</f>
        <v>1991</v>
      </c>
      <c r="K40" s="11">
        <v>2022</v>
      </c>
      <c r="L40" s="10">
        <f t="shared" si="6"/>
        <v>31</v>
      </c>
      <c r="M40" s="11">
        <v>60</v>
      </c>
      <c r="N40" s="12">
        <v>0.1</v>
      </c>
      <c r="O40" s="13">
        <f t="shared" si="0"/>
        <v>1.5000000000000001E-2</v>
      </c>
      <c r="P40" s="25">
        <f>IF((H40&lt;=5),VLOOKUP(D40,'building rates'!$B$30:$H$54,2,FALSE),IF(AND(H40&gt;5,H40&lt;=12),VLOOKUP(D40,'building rates'!$B$30:$H$54,3,FALSE),IF(AND(H40&gt;12,H40&lt;=15),VLOOKUP(D40,'building rates'!$B$30:$H$54,4,FALSE),IF(AND(H40&gt;15,H40&lt;=20),VLOOKUP(D40,'building rates'!$B$30:$H$54,5,FALSE),IF(AND(H40&gt;20,H40&lt;=25),VLOOKUP(D40,'building rates'!$B$30:$H$54,6,FALSE),IF(H40&gt;25,VLOOKUP(D40,'building rates'!$B$30:$H$54,7,FALSE),0))))))</f>
        <v>1000</v>
      </c>
      <c r="Q40" s="14">
        <f t="shared" si="1"/>
        <v>57727400</v>
      </c>
      <c r="R40" s="14">
        <f t="shared" si="2"/>
        <v>26843241.000000004</v>
      </c>
      <c r="S40" s="14">
        <f t="shared" si="3"/>
        <v>30884158.999999996</v>
      </c>
      <c r="T40" s="15">
        <v>0.2</v>
      </c>
      <c r="U40" s="14">
        <f t="shared" si="7"/>
        <v>24707327.199999999</v>
      </c>
      <c r="V40" s="3">
        <f t="shared" si="8"/>
        <v>428</v>
      </c>
    </row>
    <row r="41" spans="1:22" ht="45" hidden="1" x14ac:dyDescent="0.25">
      <c r="A41" s="7">
        <v>36</v>
      </c>
      <c r="B41" s="98" t="str">
        <f>'BD SHEET FROM COMPANY'!B40</f>
        <v>TYRE REPAIR</v>
      </c>
      <c r="C41" s="29">
        <v>1</v>
      </c>
      <c r="D41" s="8" t="s">
        <v>158</v>
      </c>
      <c r="E41" s="9">
        <f>'BD SHEET FROM COMPANY'!K40</f>
        <v>2509.6624000000002</v>
      </c>
      <c r="F41" s="9"/>
      <c r="G41" s="95">
        <f t="shared" si="4"/>
        <v>233.15549196852444</v>
      </c>
      <c r="H41" s="10">
        <f>'BD SHEET FROM COMPANY'!E40</f>
        <v>13.311999999999999</v>
      </c>
      <c r="I41" s="30">
        <f t="shared" si="5"/>
        <v>4.0572996037793354</v>
      </c>
      <c r="J41" s="31">
        <f>'BD SHEET FROM COMPANY'!F40</f>
        <v>1998</v>
      </c>
      <c r="K41" s="11">
        <v>2022</v>
      </c>
      <c r="L41" s="10">
        <f t="shared" si="6"/>
        <v>24</v>
      </c>
      <c r="M41" s="11">
        <v>60</v>
      </c>
      <c r="N41" s="12">
        <v>0.1</v>
      </c>
      <c r="O41" s="13">
        <f t="shared" si="0"/>
        <v>1.5000000000000001E-2</v>
      </c>
      <c r="P41" s="25">
        <f>IF((H41&lt;=5),VLOOKUP(D41,'building rates'!$B$30:$H$54,2,FALSE),IF(AND(H41&gt;5,H41&lt;=12),VLOOKUP(D41,'building rates'!$B$30:$H$54,3,FALSE),IF(AND(H41&gt;12,H41&lt;=15),VLOOKUP(D41,'building rates'!$B$30:$H$54,4,FALSE),IF(AND(H41&gt;15,H41&lt;=20),VLOOKUP(D41,'building rates'!$B$30:$H$54,5,FALSE),IF(AND(H41&gt;20,H41&lt;=25),VLOOKUP(D41,'building rates'!$B$30:$H$54,6,FALSE),IF(H41&gt;25,VLOOKUP(D41,'building rates'!$B$30:$H$54,7,FALSE),0))))))</f>
        <v>1200</v>
      </c>
      <c r="Q41" s="14">
        <f t="shared" si="1"/>
        <v>3011594.8800000004</v>
      </c>
      <c r="R41" s="14">
        <f t="shared" si="2"/>
        <v>1084174.1568000002</v>
      </c>
      <c r="S41" s="14">
        <f t="shared" si="3"/>
        <v>1927420.7232000001</v>
      </c>
      <c r="T41" s="15">
        <v>0.2</v>
      </c>
      <c r="U41" s="14">
        <f t="shared" si="7"/>
        <v>1541936.5785600003</v>
      </c>
      <c r="V41" s="3">
        <f t="shared" si="8"/>
        <v>614.40000000000009</v>
      </c>
    </row>
    <row r="42" spans="1:22" ht="45" hidden="1" x14ac:dyDescent="0.25">
      <c r="A42" s="7">
        <v>37</v>
      </c>
      <c r="B42" s="98" t="str">
        <f>'BD SHEET FROM COMPANY'!B41</f>
        <v>TYRE TESTING</v>
      </c>
      <c r="C42" s="29">
        <v>1</v>
      </c>
      <c r="D42" s="22" t="s">
        <v>158</v>
      </c>
      <c r="E42" s="9">
        <f>'BD SHEET FROM COMPANY'!K41</f>
        <v>2509.6624000000002</v>
      </c>
      <c r="F42" s="23"/>
      <c r="G42" s="95">
        <f t="shared" si="4"/>
        <v>233.15549196852444</v>
      </c>
      <c r="H42" s="10">
        <f>'BD SHEET FROM COMPANY'!E41</f>
        <v>23.295999999999999</v>
      </c>
      <c r="I42" s="30">
        <f t="shared" si="5"/>
        <v>7.1002743066138372</v>
      </c>
      <c r="J42" s="31">
        <f>'BD SHEET FROM COMPANY'!F41</f>
        <v>1991</v>
      </c>
      <c r="K42" s="21">
        <v>2022</v>
      </c>
      <c r="L42" s="10">
        <f t="shared" si="6"/>
        <v>31</v>
      </c>
      <c r="M42" s="11">
        <v>60</v>
      </c>
      <c r="N42" s="12">
        <v>0.1</v>
      </c>
      <c r="O42" s="24">
        <f t="shared" si="0"/>
        <v>1.5000000000000001E-2</v>
      </c>
      <c r="P42" s="25">
        <f>IF((H42&lt;=5),VLOOKUP(D42,'building rates'!$B$30:$H$54,2,FALSE),IF(AND(H42&gt;5,H42&lt;=12),VLOOKUP(D42,'building rates'!$B$30:$H$54,3,FALSE),IF(AND(H42&gt;12,H42&lt;=15),VLOOKUP(D42,'building rates'!$B$30:$H$54,4,FALSE),IF(AND(H42&gt;15,H42&lt;=20),VLOOKUP(D42,'building rates'!$B$30:$H$54,5,FALSE),IF(AND(H42&gt;20,H42&lt;=25),VLOOKUP(D42,'building rates'!$B$30:$H$54,6,FALSE),IF(H42&gt;25,VLOOKUP(D42,'building rates'!$B$30:$H$54,7,FALSE),0))))))</f>
        <v>1500</v>
      </c>
      <c r="Q42" s="14">
        <f t="shared" si="1"/>
        <v>3764493.6</v>
      </c>
      <c r="R42" s="14">
        <f t="shared" si="2"/>
        <v>1750489.524</v>
      </c>
      <c r="S42" s="14">
        <f t="shared" si="3"/>
        <v>2014004.0760000001</v>
      </c>
      <c r="T42" s="15">
        <v>0.2</v>
      </c>
      <c r="U42" s="14">
        <f t="shared" si="7"/>
        <v>1611203.2608000003</v>
      </c>
      <c r="V42" s="3">
        <f t="shared" si="8"/>
        <v>642.00000000000011</v>
      </c>
    </row>
    <row r="43" spans="1:22" ht="45" hidden="1" x14ac:dyDescent="0.25">
      <c r="A43" s="7">
        <v>38</v>
      </c>
      <c r="B43" s="98" t="str">
        <f>'BD SHEET FROM COMPANY'!B42</f>
        <v>AHU &amp; TIOLET</v>
      </c>
      <c r="C43" s="29">
        <v>1</v>
      </c>
      <c r="D43" s="8" t="s">
        <v>158</v>
      </c>
      <c r="E43" s="9">
        <f>'BD SHEET FROM COMPANY'!K42</f>
        <v>7528.9872000000005</v>
      </c>
      <c r="F43" s="9"/>
      <c r="G43" s="95">
        <f t="shared" si="4"/>
        <v>699.46647590557336</v>
      </c>
      <c r="H43" s="10">
        <f>'BD SHEET FROM COMPANY'!E42</f>
        <v>23.295999999999999</v>
      </c>
      <c r="I43" s="30">
        <f t="shared" si="5"/>
        <v>7.1002743066138372</v>
      </c>
      <c r="J43" s="31">
        <f>'BD SHEET FROM COMPANY'!F42</f>
        <v>1991</v>
      </c>
      <c r="K43" s="11">
        <v>2022</v>
      </c>
      <c r="L43" s="10">
        <f t="shared" si="6"/>
        <v>31</v>
      </c>
      <c r="M43" s="11">
        <v>60</v>
      </c>
      <c r="N43" s="12">
        <v>0.1</v>
      </c>
      <c r="O43" s="13">
        <f t="shared" si="0"/>
        <v>1.5000000000000001E-2</v>
      </c>
      <c r="P43" s="25">
        <f>IF((H43&lt;=5),VLOOKUP(D43,'building rates'!$B$30:$H$54,2,FALSE),IF(AND(H43&gt;5,H43&lt;=12),VLOOKUP(D43,'building rates'!$B$30:$H$54,3,FALSE),IF(AND(H43&gt;12,H43&lt;=15),VLOOKUP(D43,'building rates'!$B$30:$H$54,4,FALSE),IF(AND(H43&gt;15,H43&lt;=20),VLOOKUP(D43,'building rates'!$B$30:$H$54,5,FALSE),IF(AND(H43&gt;20,H43&lt;=25),VLOOKUP(D43,'building rates'!$B$30:$H$54,6,FALSE),IF(H43&gt;25,VLOOKUP(D43,'building rates'!$B$30:$H$54,7,FALSE),0))))))</f>
        <v>1500</v>
      </c>
      <c r="Q43" s="14">
        <f t="shared" si="1"/>
        <v>11293480.800000001</v>
      </c>
      <c r="R43" s="14">
        <f t="shared" si="2"/>
        <v>5251468.5720000006</v>
      </c>
      <c r="S43" s="14">
        <f t="shared" si="3"/>
        <v>6042012.2280000001</v>
      </c>
      <c r="T43" s="15">
        <v>0.15</v>
      </c>
      <c r="U43" s="14">
        <f t="shared" si="7"/>
        <v>5135710.3937999997</v>
      </c>
      <c r="V43" s="3">
        <f t="shared" si="8"/>
        <v>682.12499999999989</v>
      </c>
    </row>
    <row r="44" spans="1:22" ht="45" hidden="1" x14ac:dyDescent="0.25">
      <c r="A44" s="7">
        <v>39</v>
      </c>
      <c r="B44" s="98" t="str">
        <f>'BD SHEET FROM COMPANY'!B43</f>
        <v>MOULD SHOP</v>
      </c>
      <c r="C44" s="29">
        <v>1</v>
      </c>
      <c r="D44" s="8" t="s">
        <v>158</v>
      </c>
      <c r="E44" s="9">
        <f>'BD SHEET FROM COMPANY'!K43</f>
        <v>2509.6624000000002</v>
      </c>
      <c r="F44" s="9"/>
      <c r="G44" s="95">
        <f t="shared" si="4"/>
        <v>233.15549196852444</v>
      </c>
      <c r="H44" s="10">
        <f>'BD SHEET FROM COMPANY'!E43</f>
        <v>23.295999999999999</v>
      </c>
      <c r="I44" s="30">
        <f t="shared" si="5"/>
        <v>7.1002743066138372</v>
      </c>
      <c r="J44" s="31">
        <f>'BD SHEET FROM COMPANY'!F43</f>
        <v>1991</v>
      </c>
      <c r="K44" s="11">
        <v>2022</v>
      </c>
      <c r="L44" s="10">
        <f t="shared" si="6"/>
        <v>31</v>
      </c>
      <c r="M44" s="11">
        <v>60</v>
      </c>
      <c r="N44" s="12">
        <v>0.1</v>
      </c>
      <c r="O44" s="13">
        <f t="shared" si="0"/>
        <v>1.5000000000000001E-2</v>
      </c>
      <c r="P44" s="25">
        <f>IF((H44&lt;=5),VLOOKUP(D44,'building rates'!$B$30:$H$54,2,FALSE),IF(AND(H44&gt;5,H44&lt;=12),VLOOKUP(D44,'building rates'!$B$30:$H$54,3,FALSE),IF(AND(H44&gt;12,H44&lt;=15),VLOOKUP(D44,'building rates'!$B$30:$H$54,4,FALSE),IF(AND(H44&gt;15,H44&lt;=20),VLOOKUP(D44,'building rates'!$B$30:$H$54,5,FALSE),IF(AND(H44&gt;20,H44&lt;=25),VLOOKUP(D44,'building rates'!$B$30:$H$54,6,FALSE),IF(H44&gt;25,VLOOKUP(D44,'building rates'!$B$30:$H$54,7,FALSE),0))))))</f>
        <v>1500</v>
      </c>
      <c r="Q44" s="14">
        <f t="shared" si="1"/>
        <v>3764493.6</v>
      </c>
      <c r="R44" s="14">
        <f t="shared" si="2"/>
        <v>1750489.524</v>
      </c>
      <c r="S44" s="14">
        <f t="shared" si="3"/>
        <v>2014004.0760000001</v>
      </c>
      <c r="T44" s="15">
        <v>0.2</v>
      </c>
      <c r="U44" s="14">
        <f t="shared" si="7"/>
        <v>1611203.2608000003</v>
      </c>
      <c r="V44" s="3">
        <f t="shared" si="8"/>
        <v>642.00000000000011</v>
      </c>
    </row>
    <row r="45" spans="1:22" ht="45" hidden="1" x14ac:dyDescent="0.25">
      <c r="A45" s="7">
        <v>40</v>
      </c>
      <c r="B45" s="98" t="str">
        <f>'BD SHEET FROM COMPANY'!B44</f>
        <v>SUB STATION &amp; TRANSFORMER (PCC# 3)</v>
      </c>
      <c r="C45" s="29">
        <v>1</v>
      </c>
      <c r="D45" s="8" t="s">
        <v>158</v>
      </c>
      <c r="E45" s="9">
        <f>'BD SHEET FROM COMPANY'!K44</f>
        <v>2509.6624000000002</v>
      </c>
      <c r="F45" s="9"/>
      <c r="G45" s="95">
        <f t="shared" si="4"/>
        <v>233.15549196852444</v>
      </c>
      <c r="H45" s="10">
        <f>'BD SHEET FROM COMPANY'!E44</f>
        <v>23.295999999999999</v>
      </c>
      <c r="I45" s="30">
        <f t="shared" si="5"/>
        <v>7.1002743066138372</v>
      </c>
      <c r="J45" s="31">
        <f>'BD SHEET FROM COMPANY'!F44</f>
        <v>1991</v>
      </c>
      <c r="K45" s="11">
        <v>2022</v>
      </c>
      <c r="L45" s="10">
        <f t="shared" si="6"/>
        <v>31</v>
      </c>
      <c r="M45" s="11">
        <v>60</v>
      </c>
      <c r="N45" s="12">
        <v>0.1</v>
      </c>
      <c r="O45" s="13">
        <f t="shared" si="0"/>
        <v>1.5000000000000001E-2</v>
      </c>
      <c r="P45" s="25">
        <f>IF((H45&lt;=5),VLOOKUP(D45,'building rates'!$B$30:$H$54,2,FALSE),IF(AND(H45&gt;5,H45&lt;=12),VLOOKUP(D45,'building rates'!$B$30:$H$54,3,FALSE),IF(AND(H45&gt;12,H45&lt;=15),VLOOKUP(D45,'building rates'!$B$30:$H$54,4,FALSE),IF(AND(H45&gt;15,H45&lt;=20),VLOOKUP(D45,'building rates'!$B$30:$H$54,5,FALSE),IF(AND(H45&gt;20,H45&lt;=25),VLOOKUP(D45,'building rates'!$B$30:$H$54,6,FALSE),IF(H45&gt;25,VLOOKUP(D45,'building rates'!$B$30:$H$54,7,FALSE),0))))))</f>
        <v>1500</v>
      </c>
      <c r="Q45" s="14">
        <f t="shared" si="1"/>
        <v>3764493.6</v>
      </c>
      <c r="R45" s="14">
        <f t="shared" si="2"/>
        <v>1750489.524</v>
      </c>
      <c r="S45" s="14">
        <f t="shared" si="3"/>
        <v>2014004.0760000001</v>
      </c>
      <c r="T45" s="15">
        <v>0.2</v>
      </c>
      <c r="U45" s="14">
        <f t="shared" si="7"/>
        <v>1611203.2608000003</v>
      </c>
      <c r="V45" s="3">
        <f t="shared" si="8"/>
        <v>642.00000000000011</v>
      </c>
    </row>
    <row r="46" spans="1:22" ht="45" hidden="1" x14ac:dyDescent="0.25">
      <c r="A46" s="7">
        <v>41</v>
      </c>
      <c r="B46" s="98" t="str">
        <f>'BD SHEET FROM COMPANY'!B45</f>
        <v>ECS ROOM</v>
      </c>
      <c r="C46" s="29">
        <v>1</v>
      </c>
      <c r="D46" s="8" t="s">
        <v>158</v>
      </c>
      <c r="E46" s="9">
        <f>'BD SHEET FROM COMPANY'!K45</f>
        <v>3750.9360000000001</v>
      </c>
      <c r="F46" s="9"/>
      <c r="G46" s="95">
        <f t="shared" si="4"/>
        <v>348.47369447876702</v>
      </c>
      <c r="H46" s="10">
        <f>'BD SHEET FROM COMPANY'!E45</f>
        <v>23.295999999999999</v>
      </c>
      <c r="I46" s="30">
        <f t="shared" si="5"/>
        <v>7.1002743066138372</v>
      </c>
      <c r="J46" s="31">
        <f>'BD SHEET FROM COMPANY'!F45</f>
        <v>1991</v>
      </c>
      <c r="K46" s="11">
        <v>2022</v>
      </c>
      <c r="L46" s="10">
        <f t="shared" si="6"/>
        <v>31</v>
      </c>
      <c r="M46" s="11">
        <v>60</v>
      </c>
      <c r="N46" s="12">
        <v>0.1</v>
      </c>
      <c r="O46" s="13">
        <f t="shared" si="0"/>
        <v>1.5000000000000001E-2</v>
      </c>
      <c r="P46" s="25">
        <f>IF((H46&lt;=5),VLOOKUP(D46,'building rates'!$B$30:$H$54,2,FALSE),IF(AND(H46&gt;5,H46&lt;=12),VLOOKUP(D46,'building rates'!$B$30:$H$54,3,FALSE),IF(AND(H46&gt;12,H46&lt;=15),VLOOKUP(D46,'building rates'!$B$30:$H$54,4,FALSE),IF(AND(H46&gt;15,H46&lt;=20),VLOOKUP(D46,'building rates'!$B$30:$H$54,5,FALSE),IF(AND(H46&gt;20,H46&lt;=25),VLOOKUP(D46,'building rates'!$B$30:$H$54,6,FALSE),IF(H46&gt;25,VLOOKUP(D46,'building rates'!$B$30:$H$54,7,FALSE),0))))))</f>
        <v>1500</v>
      </c>
      <c r="Q46" s="14">
        <f t="shared" si="1"/>
        <v>5626404</v>
      </c>
      <c r="R46" s="14">
        <f t="shared" si="2"/>
        <v>2616277.8600000003</v>
      </c>
      <c r="S46" s="14">
        <f t="shared" si="3"/>
        <v>3010126.1399999997</v>
      </c>
      <c r="T46" s="15">
        <v>0.2</v>
      </c>
      <c r="U46" s="14">
        <f t="shared" si="7"/>
        <v>2408100.912</v>
      </c>
      <c r="V46" s="3">
        <f t="shared" si="8"/>
        <v>642</v>
      </c>
    </row>
    <row r="47" spans="1:22" ht="45" hidden="1" x14ac:dyDescent="0.25">
      <c r="A47" s="7">
        <v>42</v>
      </c>
      <c r="B47" s="98" t="str">
        <f>'BD SHEET FROM COMPANY'!B46</f>
        <v>TYRE  CAFÉ (PRODUCT GALLERY)</v>
      </c>
      <c r="C47" s="29">
        <v>1</v>
      </c>
      <c r="D47" s="8" t="s">
        <v>158</v>
      </c>
      <c r="E47" s="9">
        <f>'BD SHEET FROM COMPANY'!K46</f>
        <v>3750.9360000000001</v>
      </c>
      <c r="F47" s="16"/>
      <c r="G47" s="95">
        <f t="shared" si="4"/>
        <v>348.47369447876702</v>
      </c>
      <c r="H47" s="10">
        <f>'BD SHEET FROM COMPANY'!E46</f>
        <v>11.648</v>
      </c>
      <c r="I47" s="30">
        <f t="shared" si="5"/>
        <v>3.5501371533069186</v>
      </c>
      <c r="J47" s="31">
        <f>'BD SHEET FROM COMPANY'!F46</f>
        <v>2005</v>
      </c>
      <c r="K47" s="11">
        <v>2022</v>
      </c>
      <c r="L47" s="10">
        <f t="shared" si="6"/>
        <v>17</v>
      </c>
      <c r="M47" s="11">
        <v>65</v>
      </c>
      <c r="N47" s="12">
        <v>0.1</v>
      </c>
      <c r="O47" s="13">
        <f t="shared" si="0"/>
        <v>1.3846153846153847E-2</v>
      </c>
      <c r="P47" s="25">
        <f>IF((H47&lt;=5),VLOOKUP(D47,'building rates'!$B$30:$H$54,2,FALSE),IF(AND(H47&gt;5,H47&lt;=12),VLOOKUP(D47,'building rates'!$B$30:$H$54,3,FALSE),IF(AND(H47&gt;12,H47&lt;=15),VLOOKUP(D47,'building rates'!$B$30:$H$54,4,FALSE),IF(AND(H47&gt;15,H47&lt;=20),VLOOKUP(D47,'building rates'!$B$30:$H$54,5,FALSE),IF(AND(H47&gt;20,H47&lt;=25),VLOOKUP(D47,'building rates'!$B$30:$H$54,6,FALSE),IF(H47&gt;25,VLOOKUP(D47,'building rates'!$B$30:$H$54,7,FALSE),0))))))</f>
        <v>1000</v>
      </c>
      <c r="Q47" s="14">
        <f t="shared" si="1"/>
        <v>3750936</v>
      </c>
      <c r="R47" s="14">
        <f t="shared" si="2"/>
        <v>882912.62769230769</v>
      </c>
      <c r="S47" s="14">
        <f t="shared" si="3"/>
        <v>2868023.3723076922</v>
      </c>
      <c r="T47" s="15">
        <v>0.2</v>
      </c>
      <c r="U47" s="14">
        <f t="shared" si="7"/>
        <v>2294418.6978461538</v>
      </c>
      <c r="V47" s="3">
        <f t="shared" si="8"/>
        <v>611.69230769230762</v>
      </c>
    </row>
    <row r="48" spans="1:22" ht="45" hidden="1" x14ac:dyDescent="0.25">
      <c r="A48" s="7">
        <v>43</v>
      </c>
      <c r="B48" s="98" t="str">
        <f>'BD SHEET FROM COMPANY'!B47</f>
        <v>LABORATORY</v>
      </c>
      <c r="C48" s="29">
        <v>1</v>
      </c>
      <c r="D48" s="8" t="s">
        <v>158</v>
      </c>
      <c r="E48" s="9">
        <f>'BD SHEET FROM COMPANY'!K47</f>
        <v>2509.6624000000002</v>
      </c>
      <c r="F48" s="16"/>
      <c r="G48" s="95">
        <f t="shared" si="4"/>
        <v>233.15549196852444</v>
      </c>
      <c r="H48" s="10">
        <f>'BD SHEET FROM COMPANY'!E47</f>
        <v>11.648</v>
      </c>
      <c r="I48" s="30">
        <f t="shared" si="5"/>
        <v>3.5501371533069186</v>
      </c>
      <c r="J48" s="31">
        <f>'BD SHEET FROM COMPANY'!F47</f>
        <v>1991</v>
      </c>
      <c r="K48" s="11">
        <v>2022</v>
      </c>
      <c r="L48" s="10">
        <f t="shared" si="6"/>
        <v>31</v>
      </c>
      <c r="M48" s="11">
        <v>60</v>
      </c>
      <c r="N48" s="12">
        <v>0.1</v>
      </c>
      <c r="O48" s="13">
        <f t="shared" si="0"/>
        <v>1.5000000000000001E-2</v>
      </c>
      <c r="P48" s="25">
        <f>IF((H48&lt;=5),VLOOKUP(D48,'building rates'!$B$30:$H$54,2,FALSE),IF(AND(H48&gt;5,H48&lt;=12),VLOOKUP(D48,'building rates'!$B$30:$H$54,3,FALSE),IF(AND(H48&gt;12,H48&lt;=15),VLOOKUP(D48,'building rates'!$B$30:$H$54,4,FALSE),IF(AND(H48&gt;15,H48&lt;=20),VLOOKUP(D48,'building rates'!$B$30:$H$54,5,FALSE),IF(AND(H48&gt;20,H48&lt;=25),VLOOKUP(D48,'building rates'!$B$30:$H$54,6,FALSE),IF(H48&gt;25,VLOOKUP(D48,'building rates'!$B$30:$H$54,7,FALSE),0))))))</f>
        <v>1000</v>
      </c>
      <c r="Q48" s="14">
        <f t="shared" si="1"/>
        <v>2509662.4000000004</v>
      </c>
      <c r="R48" s="14">
        <f t="shared" si="2"/>
        <v>1166993.0160000003</v>
      </c>
      <c r="S48" s="14">
        <f t="shared" si="3"/>
        <v>1342669.3840000001</v>
      </c>
      <c r="T48" s="15">
        <v>0.15</v>
      </c>
      <c r="U48" s="14">
        <f t="shared" si="7"/>
        <v>1141268.9764</v>
      </c>
      <c r="V48" s="3">
        <f t="shared" si="8"/>
        <v>454.75</v>
      </c>
    </row>
    <row r="49" spans="1:23" ht="45" hidden="1" x14ac:dyDescent="0.25">
      <c r="A49" s="7">
        <v>44</v>
      </c>
      <c r="B49" s="98" t="str">
        <f>'BD SHEET FROM COMPANY'!B48</f>
        <v>BU 2 OFFICE &amp; CHANGING ROOM</v>
      </c>
      <c r="C49" s="29">
        <v>1</v>
      </c>
      <c r="D49" s="8" t="s">
        <v>158</v>
      </c>
      <c r="E49" s="9">
        <f>'BD SHEET FROM COMPANY'!K48</f>
        <v>3750.9360000000001</v>
      </c>
      <c r="F49" s="16"/>
      <c r="G49" s="95">
        <f t="shared" si="4"/>
        <v>348.47369447876702</v>
      </c>
      <c r="H49" s="10">
        <f>'BD SHEET FROM COMPANY'!E48</f>
        <v>11.648</v>
      </c>
      <c r="I49" s="30">
        <f t="shared" si="5"/>
        <v>3.5501371533069186</v>
      </c>
      <c r="J49" s="31">
        <f>'BD SHEET FROM COMPANY'!F48</f>
        <v>1991</v>
      </c>
      <c r="K49" s="11">
        <v>2022</v>
      </c>
      <c r="L49" s="10">
        <f t="shared" si="6"/>
        <v>31</v>
      </c>
      <c r="M49" s="11">
        <v>60</v>
      </c>
      <c r="N49" s="12">
        <v>0.1</v>
      </c>
      <c r="O49" s="13">
        <f t="shared" si="0"/>
        <v>1.5000000000000001E-2</v>
      </c>
      <c r="P49" s="25">
        <f>IF((H49&lt;=5),VLOOKUP(D49,'building rates'!$B$30:$H$54,2,FALSE),IF(AND(H49&gt;5,H49&lt;=12),VLOOKUP(D49,'building rates'!$B$30:$H$54,3,FALSE),IF(AND(H49&gt;12,H49&lt;=15),VLOOKUP(D49,'building rates'!$B$30:$H$54,4,FALSE),IF(AND(H49&gt;15,H49&lt;=20),VLOOKUP(D49,'building rates'!$B$30:$H$54,5,FALSE),IF(AND(H49&gt;20,H49&lt;=25),VLOOKUP(D49,'building rates'!$B$30:$H$54,6,FALSE),IF(H49&gt;25,VLOOKUP(D49,'building rates'!$B$30:$H$54,7,FALSE),0))))))</f>
        <v>1000</v>
      </c>
      <c r="Q49" s="14">
        <f t="shared" si="1"/>
        <v>3750936</v>
      </c>
      <c r="R49" s="14">
        <f t="shared" si="2"/>
        <v>1744185.24</v>
      </c>
      <c r="S49" s="14">
        <f t="shared" si="3"/>
        <v>2006750.76</v>
      </c>
      <c r="T49" s="15">
        <v>0.2</v>
      </c>
      <c r="U49" s="14">
        <f t="shared" si="7"/>
        <v>1605400.608</v>
      </c>
      <c r="V49" s="3">
        <f t="shared" si="8"/>
        <v>428</v>
      </c>
    </row>
    <row r="50" spans="1:23" ht="45" hidden="1" x14ac:dyDescent="0.25">
      <c r="A50" s="7">
        <v>45</v>
      </c>
      <c r="B50" s="98" t="str">
        <f>'BD SHEET FROM COMPANY'!B49</f>
        <v>ENTYR GATE</v>
      </c>
      <c r="C50" s="7">
        <v>1</v>
      </c>
      <c r="D50" s="8" t="s">
        <v>158</v>
      </c>
      <c r="E50" s="9">
        <f>'BD SHEET FROM COMPANY'!K49</f>
        <v>1254.8312000000001</v>
      </c>
      <c r="F50" s="9"/>
      <c r="G50" s="95">
        <f t="shared" si="4"/>
        <v>116.57774598426222</v>
      </c>
      <c r="H50" s="10">
        <f>'BD SHEET FROM COMPANY'!E49</f>
        <v>11.648</v>
      </c>
      <c r="I50" s="30">
        <f t="shared" si="5"/>
        <v>3.5501371533069186</v>
      </c>
      <c r="J50" s="31">
        <f>'BD SHEET FROM COMPANY'!F49</f>
        <v>1991</v>
      </c>
      <c r="K50" s="11">
        <v>2022</v>
      </c>
      <c r="L50" s="10">
        <f t="shared" si="6"/>
        <v>31</v>
      </c>
      <c r="M50" s="11">
        <v>60</v>
      </c>
      <c r="N50" s="12">
        <v>0.1</v>
      </c>
      <c r="O50" s="13">
        <f t="shared" si="0"/>
        <v>1.5000000000000001E-2</v>
      </c>
      <c r="P50" s="25">
        <f>IF((H50&lt;=5),VLOOKUP(D50,'building rates'!$B$30:$H$54,2,FALSE),IF(AND(H50&gt;5,H50&lt;=12),VLOOKUP(D50,'building rates'!$B$30:$H$54,3,FALSE),IF(AND(H50&gt;12,H50&lt;=15),VLOOKUP(D50,'building rates'!$B$30:$H$54,4,FALSE),IF(AND(H50&gt;15,H50&lt;=20),VLOOKUP(D50,'building rates'!$B$30:$H$54,5,FALSE),IF(AND(H50&gt;20,H50&lt;=25),VLOOKUP(D50,'building rates'!$B$30:$H$54,6,FALSE),IF(H50&gt;25,VLOOKUP(D50,'building rates'!$B$30:$H$54,7,FALSE),0))))))</f>
        <v>1000</v>
      </c>
      <c r="Q50" s="14">
        <f t="shared" si="1"/>
        <v>1254831.2000000002</v>
      </c>
      <c r="R50" s="14">
        <f t="shared" si="2"/>
        <v>583496.50800000015</v>
      </c>
      <c r="S50" s="14">
        <f t="shared" si="3"/>
        <v>671334.69200000004</v>
      </c>
      <c r="T50" s="15">
        <v>0.15</v>
      </c>
      <c r="U50" s="14">
        <f t="shared" si="7"/>
        <v>570634.48820000002</v>
      </c>
      <c r="V50" s="3">
        <f t="shared" si="8"/>
        <v>454.75</v>
      </c>
    </row>
    <row r="51" spans="1:23" ht="45" hidden="1" x14ac:dyDescent="0.25">
      <c r="A51" s="7">
        <v>46</v>
      </c>
      <c r="B51" s="98" t="str">
        <f>'BD SHEET FROM COMPANY'!B50</f>
        <v>EMMERGENCY STORE / DOJO ROOM</v>
      </c>
      <c r="C51" s="7">
        <v>1</v>
      </c>
      <c r="D51" s="8" t="s">
        <v>158</v>
      </c>
      <c r="E51" s="9">
        <f>'BD SHEET FROM COMPANY'!K50</f>
        <v>2509.6624000000002</v>
      </c>
      <c r="F51" s="9"/>
      <c r="G51" s="95">
        <f t="shared" si="4"/>
        <v>233.15549196852444</v>
      </c>
      <c r="H51" s="10">
        <f>'BD SHEET FROM COMPANY'!E50</f>
        <v>11.648</v>
      </c>
      <c r="I51" s="30">
        <f t="shared" si="5"/>
        <v>3.5501371533069186</v>
      </c>
      <c r="J51" s="31">
        <f>'BD SHEET FROM COMPANY'!F50</f>
        <v>1991</v>
      </c>
      <c r="K51" s="11">
        <v>2022</v>
      </c>
      <c r="L51" s="10">
        <f t="shared" si="6"/>
        <v>31</v>
      </c>
      <c r="M51" s="11">
        <v>60</v>
      </c>
      <c r="N51" s="12">
        <v>0.1</v>
      </c>
      <c r="O51" s="13">
        <f t="shared" si="0"/>
        <v>1.5000000000000001E-2</v>
      </c>
      <c r="P51" s="25">
        <f>IF((H51&lt;=5),VLOOKUP(D51,'building rates'!$B$30:$H$54,2,FALSE),IF(AND(H51&gt;5,H51&lt;=12),VLOOKUP(D51,'building rates'!$B$30:$H$54,3,FALSE),IF(AND(H51&gt;12,H51&lt;=15),VLOOKUP(D51,'building rates'!$B$30:$H$54,4,FALSE),IF(AND(H51&gt;15,H51&lt;=20),VLOOKUP(D51,'building rates'!$B$30:$H$54,5,FALSE),IF(AND(H51&gt;20,H51&lt;=25),VLOOKUP(D51,'building rates'!$B$30:$H$54,6,FALSE),IF(H51&gt;25,VLOOKUP(D51,'building rates'!$B$30:$H$54,7,FALSE),0))))))</f>
        <v>1000</v>
      </c>
      <c r="Q51" s="14">
        <f t="shared" si="1"/>
        <v>2509662.4000000004</v>
      </c>
      <c r="R51" s="14">
        <f t="shared" si="2"/>
        <v>1166993.0160000003</v>
      </c>
      <c r="S51" s="14">
        <f t="shared" si="3"/>
        <v>1342669.3840000001</v>
      </c>
      <c r="T51" s="15">
        <v>0.2</v>
      </c>
      <c r="U51" s="14">
        <f t="shared" si="7"/>
        <v>1074135.5072000001</v>
      </c>
      <c r="V51" s="3">
        <f t="shared" si="8"/>
        <v>428</v>
      </c>
    </row>
    <row r="52" spans="1:23" ht="45" hidden="1" x14ac:dyDescent="0.25">
      <c r="A52" s="7">
        <v>47</v>
      </c>
      <c r="B52" s="98" t="str">
        <f>'BD SHEET FROM COMPANY'!B51</f>
        <v>LINER REROLLING AREA</v>
      </c>
      <c r="C52" s="7">
        <v>1</v>
      </c>
      <c r="D52" s="8" t="s">
        <v>158</v>
      </c>
      <c r="E52" s="9">
        <f>'BD SHEET FROM COMPANY'!K51</f>
        <v>3047.4472000000001</v>
      </c>
      <c r="F52" s="9"/>
      <c r="G52" s="95">
        <f t="shared" si="4"/>
        <v>283.11738310463682</v>
      </c>
      <c r="H52" s="10">
        <f>'BD SHEET FROM COMPANY'!E51</f>
        <v>23.295999999999999</v>
      </c>
      <c r="I52" s="30">
        <f t="shared" si="5"/>
        <v>7.1002743066138372</v>
      </c>
      <c r="J52" s="31">
        <f>'BD SHEET FROM COMPANY'!F51</f>
        <v>1991</v>
      </c>
      <c r="K52" s="11">
        <v>2022</v>
      </c>
      <c r="L52" s="10">
        <f t="shared" si="6"/>
        <v>31</v>
      </c>
      <c r="M52" s="11">
        <v>60</v>
      </c>
      <c r="N52" s="12">
        <v>0.1</v>
      </c>
      <c r="O52" s="13">
        <f t="shared" si="0"/>
        <v>1.5000000000000001E-2</v>
      </c>
      <c r="P52" s="25">
        <f>IF((H52&lt;=5),VLOOKUP(D52,'building rates'!$B$30:$H$54,2,FALSE),IF(AND(H52&gt;5,H52&lt;=12),VLOOKUP(D52,'building rates'!$B$30:$H$54,3,FALSE),IF(AND(H52&gt;12,H52&lt;=15),VLOOKUP(D52,'building rates'!$B$30:$H$54,4,FALSE),IF(AND(H52&gt;15,H52&lt;=20),VLOOKUP(D52,'building rates'!$B$30:$H$54,5,FALSE),IF(AND(H52&gt;20,H52&lt;=25),VLOOKUP(D52,'building rates'!$B$30:$H$54,6,FALSE),IF(H52&gt;25,VLOOKUP(D52,'building rates'!$B$30:$H$54,7,FALSE),0))))))</f>
        <v>1500</v>
      </c>
      <c r="Q52" s="14">
        <f t="shared" si="1"/>
        <v>4571170.8</v>
      </c>
      <c r="R52" s="14">
        <f t="shared" si="2"/>
        <v>2125594.4220000003</v>
      </c>
      <c r="S52" s="14">
        <f t="shared" si="3"/>
        <v>2445576.3779999996</v>
      </c>
      <c r="T52" s="15">
        <v>0.2</v>
      </c>
      <c r="U52" s="14">
        <f t="shared" si="7"/>
        <v>1956461.1023999997</v>
      </c>
      <c r="V52" s="3">
        <f t="shared" si="8"/>
        <v>641.99999999999989</v>
      </c>
    </row>
    <row r="53" spans="1:23" ht="45" hidden="1" x14ac:dyDescent="0.25">
      <c r="A53" s="7">
        <v>48</v>
      </c>
      <c r="B53" s="98" t="str">
        <f>'BD SHEET FROM COMPANY'!B52</f>
        <v>WORK SHOP</v>
      </c>
      <c r="C53" s="7">
        <v>1</v>
      </c>
      <c r="D53" s="8" t="s">
        <v>158</v>
      </c>
      <c r="E53" s="9">
        <f>'BD SHEET FROM COMPANY'!K52</f>
        <v>5557.1096000000007</v>
      </c>
      <c r="F53" s="9"/>
      <c r="G53" s="95">
        <f t="shared" si="4"/>
        <v>516.27287507316134</v>
      </c>
      <c r="H53" s="10">
        <f>'BD SHEET FROM COMPANY'!E52</f>
        <v>23.295999999999999</v>
      </c>
      <c r="I53" s="30">
        <f t="shared" si="5"/>
        <v>7.1002743066138372</v>
      </c>
      <c r="J53" s="31">
        <f>'BD SHEET FROM COMPANY'!F52</f>
        <v>1991</v>
      </c>
      <c r="K53" s="11">
        <v>2022</v>
      </c>
      <c r="L53" s="10">
        <f t="shared" si="6"/>
        <v>31</v>
      </c>
      <c r="M53" s="11">
        <v>60</v>
      </c>
      <c r="N53" s="12">
        <v>0.1</v>
      </c>
      <c r="O53" s="13">
        <f t="shared" si="0"/>
        <v>1.5000000000000001E-2</v>
      </c>
      <c r="P53" s="25">
        <f>IF((H53&lt;=5),VLOOKUP(D53,'building rates'!$B$30:$H$54,2,FALSE),IF(AND(H53&gt;5,H53&lt;=12),VLOOKUP(D53,'building rates'!$B$30:$H$54,3,FALSE),IF(AND(H53&gt;12,H53&lt;=15),VLOOKUP(D53,'building rates'!$B$30:$H$54,4,FALSE),IF(AND(H53&gt;15,H53&lt;=20),VLOOKUP(D53,'building rates'!$B$30:$H$54,5,FALSE),IF(AND(H53&gt;20,H53&lt;=25),VLOOKUP(D53,'building rates'!$B$30:$H$54,6,FALSE),IF(H53&gt;25,VLOOKUP(D53,'building rates'!$B$30:$H$54,7,FALSE),0))))))</f>
        <v>1500</v>
      </c>
      <c r="Q53" s="14">
        <f t="shared" si="1"/>
        <v>8335664.4000000013</v>
      </c>
      <c r="R53" s="14">
        <f t="shared" si="2"/>
        <v>3876083.9460000009</v>
      </c>
      <c r="S53" s="14">
        <f t="shared" si="3"/>
        <v>4459580.4539999999</v>
      </c>
      <c r="T53" s="15">
        <v>0.2</v>
      </c>
      <c r="U53" s="14">
        <f t="shared" si="7"/>
        <v>3567664.3632</v>
      </c>
      <c r="V53" s="3">
        <f t="shared" si="8"/>
        <v>641.99999999999989</v>
      </c>
      <c r="W53" s="8"/>
    </row>
    <row r="54" spans="1:23" ht="45" hidden="1" x14ac:dyDescent="0.25">
      <c r="A54" s="7">
        <v>49</v>
      </c>
      <c r="B54" s="98" t="str">
        <f>'BD SHEET FROM COMPANY'!B53</f>
        <v>AC CONTROL ROOM &amp; TRANSFORMER ROOM</v>
      </c>
      <c r="C54" s="7">
        <v>1</v>
      </c>
      <c r="D54" s="8" t="s">
        <v>158</v>
      </c>
      <c r="E54" s="9">
        <f>'BD SHEET FROM COMPANY'!K53</f>
        <v>8432.8271999999997</v>
      </c>
      <c r="F54" s="9"/>
      <c r="G54" s="95">
        <f t="shared" si="4"/>
        <v>783.43604084021592</v>
      </c>
      <c r="H54" s="10">
        <f>'BD SHEET FROM COMPANY'!E53</f>
        <v>23.295999999999999</v>
      </c>
      <c r="I54" s="30">
        <f t="shared" si="5"/>
        <v>7.1002743066138372</v>
      </c>
      <c r="J54" s="31">
        <f>'BD SHEET FROM COMPANY'!F53</f>
        <v>1991</v>
      </c>
      <c r="K54" s="11">
        <v>2022</v>
      </c>
      <c r="L54" s="10">
        <f t="shared" si="6"/>
        <v>31</v>
      </c>
      <c r="M54" s="11">
        <v>60</v>
      </c>
      <c r="N54" s="12">
        <v>0.1</v>
      </c>
      <c r="O54" s="13">
        <f t="shared" si="0"/>
        <v>1.5000000000000001E-2</v>
      </c>
      <c r="P54" s="25">
        <f>IF((H54&lt;=5),VLOOKUP(D54,'building rates'!$B$30:$H$54,2,FALSE),IF(AND(H54&gt;5,H54&lt;=12),VLOOKUP(D54,'building rates'!$B$30:$H$54,3,FALSE),IF(AND(H54&gt;12,H54&lt;=15),VLOOKUP(D54,'building rates'!$B$30:$H$54,4,FALSE),IF(AND(H54&gt;15,H54&lt;=20),VLOOKUP(D54,'building rates'!$B$30:$H$54,5,FALSE),IF(AND(H54&gt;20,H54&lt;=25),VLOOKUP(D54,'building rates'!$B$30:$H$54,6,FALSE),IF(H54&gt;25,VLOOKUP(D54,'building rates'!$B$30:$H$54,7,FALSE),0))))))</f>
        <v>1500</v>
      </c>
      <c r="Q54" s="14">
        <f t="shared" si="1"/>
        <v>12649240.799999999</v>
      </c>
      <c r="R54" s="14">
        <f t="shared" si="2"/>
        <v>5881896.9720000001</v>
      </c>
      <c r="S54" s="14">
        <f t="shared" si="3"/>
        <v>6767343.8279999988</v>
      </c>
      <c r="T54" s="15">
        <v>0.15</v>
      </c>
      <c r="U54" s="14">
        <f t="shared" si="7"/>
        <v>5752242.2537999991</v>
      </c>
      <c r="V54" s="3">
        <f t="shared" si="8"/>
        <v>682.12499999999989</v>
      </c>
    </row>
    <row r="55" spans="1:23" ht="45" hidden="1" x14ac:dyDescent="0.25">
      <c r="A55" s="7">
        <v>50</v>
      </c>
      <c r="B55" s="98" t="str">
        <f>'BD SHEET FROM COMPANY'!B54</f>
        <v>DC CONTROL ROOM</v>
      </c>
      <c r="C55" s="7">
        <v>1</v>
      </c>
      <c r="D55" s="8" t="s">
        <v>158</v>
      </c>
      <c r="E55" s="9">
        <f>'BD SHEET FROM COMPANY'!K54</f>
        <v>3764.4936000000002</v>
      </c>
      <c r="F55" s="9"/>
      <c r="G55" s="95">
        <f t="shared" si="4"/>
        <v>349.73323795278668</v>
      </c>
      <c r="H55" s="10">
        <f>'BD SHEET FROM COMPANY'!E54</f>
        <v>23.295999999999999</v>
      </c>
      <c r="I55" s="30">
        <f t="shared" si="5"/>
        <v>7.1002743066138372</v>
      </c>
      <c r="J55" s="31">
        <f>'BD SHEET FROM COMPANY'!F54</f>
        <v>1991</v>
      </c>
      <c r="K55" s="11">
        <v>2022</v>
      </c>
      <c r="L55" s="10">
        <f t="shared" si="6"/>
        <v>31</v>
      </c>
      <c r="M55" s="11">
        <v>60</v>
      </c>
      <c r="N55" s="12">
        <v>0.1</v>
      </c>
      <c r="O55" s="13">
        <f t="shared" si="0"/>
        <v>1.5000000000000001E-2</v>
      </c>
      <c r="P55" s="25">
        <f>IF((H55&lt;=5),VLOOKUP(D55,'building rates'!$B$30:$H$54,2,FALSE),IF(AND(H55&gt;5,H55&lt;=12),VLOOKUP(D55,'building rates'!$B$30:$H$54,3,FALSE),IF(AND(H55&gt;12,H55&lt;=15),VLOOKUP(D55,'building rates'!$B$30:$H$54,4,FALSE),IF(AND(H55&gt;15,H55&lt;=20),VLOOKUP(D55,'building rates'!$B$30:$H$54,5,FALSE),IF(AND(H55&gt;20,H55&lt;=25),VLOOKUP(D55,'building rates'!$B$30:$H$54,6,FALSE),IF(H55&gt;25,VLOOKUP(D55,'building rates'!$B$30:$H$54,7,FALSE),0))))))</f>
        <v>1500</v>
      </c>
      <c r="Q55" s="14">
        <f t="shared" si="1"/>
        <v>5646740.4000000004</v>
      </c>
      <c r="R55" s="14">
        <f t="shared" si="2"/>
        <v>2625734.2860000003</v>
      </c>
      <c r="S55" s="14">
        <f t="shared" si="3"/>
        <v>3021006.1140000001</v>
      </c>
      <c r="T55" s="15">
        <v>0.2</v>
      </c>
      <c r="U55" s="14">
        <f t="shared" si="7"/>
        <v>2416804.8912</v>
      </c>
      <c r="V55" s="3">
        <f t="shared" si="8"/>
        <v>642</v>
      </c>
    </row>
    <row r="56" spans="1:23" ht="45" hidden="1" x14ac:dyDescent="0.25">
      <c r="A56" s="7">
        <v>51</v>
      </c>
      <c r="B56" s="98" t="str">
        <f>'BD SHEET FROM COMPANY'!B55</f>
        <v>ANNEXE OFFICE</v>
      </c>
      <c r="C56" s="7">
        <v>1</v>
      </c>
      <c r="D56" s="8" t="s">
        <v>158</v>
      </c>
      <c r="E56" s="9">
        <f>'BD SHEET FROM COMPANY'!K55</f>
        <v>17567.529200000001</v>
      </c>
      <c r="F56" s="9"/>
      <c r="G56" s="95">
        <f t="shared" si="4"/>
        <v>1632.0784474028931</v>
      </c>
      <c r="H56" s="10">
        <f>'BD SHEET FROM COMPANY'!E55</f>
        <v>13.311999999999999</v>
      </c>
      <c r="I56" s="30">
        <f t="shared" si="5"/>
        <v>4.0572996037793354</v>
      </c>
      <c r="J56" s="31">
        <f>'BD SHEET FROM COMPANY'!F55</f>
        <v>1991</v>
      </c>
      <c r="K56" s="11">
        <v>2022</v>
      </c>
      <c r="L56" s="10">
        <f t="shared" si="6"/>
        <v>31</v>
      </c>
      <c r="M56" s="11">
        <v>60</v>
      </c>
      <c r="N56" s="12">
        <v>0.1</v>
      </c>
      <c r="O56" s="13">
        <f t="shared" si="0"/>
        <v>1.5000000000000001E-2</v>
      </c>
      <c r="P56" s="25">
        <f>IF((H56&lt;=5),VLOOKUP(D56,'building rates'!$B$30:$H$54,2,FALSE),IF(AND(H56&gt;5,H56&lt;=12),VLOOKUP(D56,'building rates'!$B$30:$H$54,3,FALSE),IF(AND(H56&gt;12,H56&lt;=15),VLOOKUP(D56,'building rates'!$B$30:$H$54,4,FALSE),IF(AND(H56&gt;15,H56&lt;=20),VLOOKUP(D56,'building rates'!$B$30:$H$54,5,FALSE),IF(AND(H56&gt;20,H56&lt;=25),VLOOKUP(D56,'building rates'!$B$30:$H$54,6,FALSE),IF(H56&gt;25,VLOOKUP(D56,'building rates'!$B$30:$H$54,7,FALSE),0))))))</f>
        <v>1200</v>
      </c>
      <c r="Q56" s="14">
        <f t="shared" si="1"/>
        <v>21081035.040000003</v>
      </c>
      <c r="R56" s="14">
        <f t="shared" si="2"/>
        <v>9802681.2936000023</v>
      </c>
      <c r="S56" s="14">
        <f t="shared" si="3"/>
        <v>11278353.746400001</v>
      </c>
      <c r="T56" s="15">
        <v>0.15</v>
      </c>
      <c r="U56" s="14">
        <f t="shared" si="7"/>
        <v>9586600.68444</v>
      </c>
      <c r="V56" s="3">
        <f t="shared" si="8"/>
        <v>545.69999999999993</v>
      </c>
    </row>
    <row r="57" spans="1:23" ht="45" hidden="1" x14ac:dyDescent="0.25">
      <c r="A57" s="7">
        <v>52</v>
      </c>
      <c r="B57" s="98" t="str">
        <f>'BD SHEET FROM COMPANY'!B56</f>
        <v xml:space="preserve">BULK OIL </v>
      </c>
      <c r="C57" s="7">
        <v>1</v>
      </c>
      <c r="D57" s="8" t="s">
        <v>158</v>
      </c>
      <c r="E57" s="9">
        <f>'BD SHEET FROM COMPANY'!K56</f>
        <v>664.43</v>
      </c>
      <c r="F57" s="9"/>
      <c r="G57" s="95">
        <f t="shared" si="4"/>
        <v>61.727626603740276</v>
      </c>
      <c r="H57" s="10">
        <f>'BD SHEET FROM COMPANY'!E56</f>
        <v>10</v>
      </c>
      <c r="I57" s="30">
        <f t="shared" si="5"/>
        <v>3.047851264858275</v>
      </c>
      <c r="J57" s="31">
        <f>'BD SHEET FROM COMPANY'!F56</f>
        <v>1991</v>
      </c>
      <c r="K57" s="11">
        <v>2022</v>
      </c>
      <c r="L57" s="10">
        <f t="shared" si="6"/>
        <v>31</v>
      </c>
      <c r="M57" s="11">
        <v>60</v>
      </c>
      <c r="N57" s="12">
        <v>0.1</v>
      </c>
      <c r="O57" s="13">
        <f t="shared" si="0"/>
        <v>1.5000000000000001E-2</v>
      </c>
      <c r="P57" s="25">
        <f>IF((H57&lt;=5),VLOOKUP(D57,'building rates'!$B$30:$H$54,2,FALSE),IF(AND(H57&gt;5,H57&lt;=12),VLOOKUP(D57,'building rates'!$B$30:$H$54,3,FALSE),IF(AND(H57&gt;12,H57&lt;=15),VLOOKUP(D57,'building rates'!$B$30:$H$54,4,FALSE),IF(AND(H57&gt;15,H57&lt;=20),VLOOKUP(D57,'building rates'!$B$30:$H$54,5,FALSE),IF(AND(H57&gt;20,H57&lt;=25),VLOOKUP(D57,'building rates'!$B$30:$H$54,6,FALSE),IF(H57&gt;25,VLOOKUP(D57,'building rates'!$B$30:$H$54,7,FALSE),0))))))</f>
        <v>1000</v>
      </c>
      <c r="Q57" s="14">
        <f t="shared" si="1"/>
        <v>664430</v>
      </c>
      <c r="R57" s="14">
        <f t="shared" si="2"/>
        <v>308959.95</v>
      </c>
      <c r="S57" s="14">
        <f t="shared" si="3"/>
        <v>355470.05</v>
      </c>
      <c r="T57" s="15">
        <v>0.2</v>
      </c>
      <c r="U57" s="14">
        <f t="shared" si="7"/>
        <v>284376.03999999998</v>
      </c>
      <c r="V57" s="3">
        <f t="shared" si="8"/>
        <v>428</v>
      </c>
    </row>
    <row r="58" spans="1:23" ht="60" hidden="1" x14ac:dyDescent="0.25">
      <c r="A58" s="7">
        <v>53</v>
      </c>
      <c r="B58" s="98" t="str">
        <f>'BD SHEET FROM COMPANY'!B57</f>
        <v>CARBON BLACK STORAGE</v>
      </c>
      <c r="C58" s="7">
        <v>1</v>
      </c>
      <c r="D58" s="8" t="s">
        <v>165</v>
      </c>
      <c r="E58" s="9">
        <f>'BD SHEET FROM COMPANY'!K57</f>
        <v>13226.998117680001</v>
      </c>
      <c r="F58" s="9"/>
      <c r="G58" s="95">
        <f t="shared" si="4"/>
        <v>1228.8295243991492</v>
      </c>
      <c r="H58" s="10">
        <f>'BD SHEET FROM COMPANY'!E57</f>
        <v>18.303999999999998</v>
      </c>
      <c r="I58" s="30">
        <f t="shared" si="5"/>
        <v>5.5787869551965859</v>
      </c>
      <c r="J58" s="31">
        <f>'BD SHEET FROM COMPANY'!F57</f>
        <v>1991</v>
      </c>
      <c r="K58" s="11">
        <v>2022</v>
      </c>
      <c r="L58" s="10">
        <f t="shared" si="6"/>
        <v>31</v>
      </c>
      <c r="M58" s="11">
        <v>40</v>
      </c>
      <c r="N58" s="12">
        <v>0.1</v>
      </c>
      <c r="O58" s="13">
        <f t="shared" si="0"/>
        <v>2.2499999999999999E-2</v>
      </c>
      <c r="P58" s="25">
        <f>IF((H58&lt;=5),VLOOKUP(D58,'building rates'!$B$30:$H$54,2,FALSE),IF(AND(H58&gt;5,H58&lt;=12),VLOOKUP(D58,'building rates'!$B$30:$H$54,3,FALSE),IF(AND(H58&gt;12,H58&lt;=15),VLOOKUP(D58,'building rates'!$B$30:$H$54,4,FALSE),IF(AND(H58&gt;15,H58&lt;=20),VLOOKUP(D58,'building rates'!$B$30:$H$54,5,FALSE),IF(AND(H58&gt;20,H58&lt;=25),VLOOKUP(D58,'building rates'!$B$30:$H$54,6,FALSE),IF(H58&gt;25,VLOOKUP(D58,'building rates'!$B$30:$H$54,7,FALSE),0))))))</f>
        <v>700</v>
      </c>
      <c r="Q58" s="14">
        <f t="shared" si="1"/>
        <v>9258898.682376001</v>
      </c>
      <c r="R58" s="14">
        <f t="shared" si="2"/>
        <v>6458081.8309572609</v>
      </c>
      <c r="S58" s="14">
        <f t="shared" si="3"/>
        <v>2800816.8514187401</v>
      </c>
      <c r="T58" s="15">
        <v>0.2</v>
      </c>
      <c r="U58" s="14">
        <f t="shared" si="7"/>
        <v>2240653.4811349921</v>
      </c>
      <c r="V58" s="3">
        <f t="shared" si="8"/>
        <v>169.4</v>
      </c>
    </row>
    <row r="59" spans="1:23" ht="60" hidden="1" x14ac:dyDescent="0.25">
      <c r="A59" s="7">
        <v>54</v>
      </c>
      <c r="B59" s="98" t="str">
        <f>'BD SHEET FROM COMPANY'!B58</f>
        <v>CARBON BLACK STORAGE (MACHINE ROOM)</v>
      </c>
      <c r="C59" s="7">
        <v>1</v>
      </c>
      <c r="D59" s="8" t="s">
        <v>165</v>
      </c>
      <c r="E59" s="9">
        <f>'BD SHEET FROM COMPANY'!K58</f>
        <v>2025.7491539999999</v>
      </c>
      <c r="F59" s="9"/>
      <c r="G59" s="95">
        <f t="shared" si="4"/>
        <v>188.19843681193618</v>
      </c>
      <c r="H59" s="10">
        <f>'BD SHEET FROM COMPANY'!E58</f>
        <v>36.607999999999997</v>
      </c>
      <c r="I59" s="30">
        <f t="shared" si="5"/>
        <v>11.157573910393172</v>
      </c>
      <c r="J59" s="31">
        <f>'BD SHEET FROM COMPANY'!F58</f>
        <v>1991</v>
      </c>
      <c r="K59" s="11">
        <v>2022</v>
      </c>
      <c r="L59" s="10">
        <f t="shared" si="6"/>
        <v>31</v>
      </c>
      <c r="M59" s="11">
        <v>40</v>
      </c>
      <c r="N59" s="12">
        <v>0.1</v>
      </c>
      <c r="O59" s="13">
        <f t="shared" si="0"/>
        <v>2.2499999999999999E-2</v>
      </c>
      <c r="P59" s="25">
        <f>IF((H59&lt;=5),VLOOKUP(D59,'building rates'!$B$30:$H$54,2,FALSE),IF(AND(H59&gt;5,H59&lt;=12),VLOOKUP(D59,'building rates'!$B$30:$H$54,3,FALSE),IF(AND(H59&gt;12,H59&lt;=15),VLOOKUP(D59,'building rates'!$B$30:$H$54,4,FALSE),IF(AND(H59&gt;15,H59&lt;=20),VLOOKUP(D59,'building rates'!$B$30:$H$54,5,FALSE),IF(AND(H59&gt;20,H59&lt;=25),VLOOKUP(D59,'building rates'!$B$30:$H$54,6,FALSE),IF(H59&gt;25,VLOOKUP(D59,'building rates'!$B$30:$H$54,7,FALSE),0))))))</f>
        <v>1100</v>
      </c>
      <c r="Q59" s="14">
        <f t="shared" si="1"/>
        <v>2228324.0693999999</v>
      </c>
      <c r="R59" s="14">
        <f t="shared" si="2"/>
        <v>1554256.0384064999</v>
      </c>
      <c r="S59" s="14">
        <f t="shared" si="3"/>
        <v>674068.03099350003</v>
      </c>
      <c r="T59" s="15">
        <v>0.2</v>
      </c>
      <c r="U59" s="14">
        <f t="shared" si="7"/>
        <v>539254.4247948</v>
      </c>
      <c r="V59" s="3">
        <f t="shared" si="8"/>
        <v>266.2</v>
      </c>
    </row>
    <row r="60" spans="1:23" ht="45" hidden="1" x14ac:dyDescent="0.25">
      <c r="A60" s="7">
        <v>55</v>
      </c>
      <c r="B60" s="98" t="str">
        <f>'BD SHEET FROM COMPANY'!B59</f>
        <v>CARBON BLACK STORAGE (BLOWER &amp; CONTROL ROOM)</v>
      </c>
      <c r="C60" s="7">
        <v>1</v>
      </c>
      <c r="D60" s="8" t="s">
        <v>158</v>
      </c>
      <c r="E60" s="9">
        <f>'BD SHEET FROM COMPANY'!K59</f>
        <v>677.88</v>
      </c>
      <c r="F60" s="9"/>
      <c r="G60" s="95">
        <f t="shared" si="4"/>
        <v>62.977173700981986</v>
      </c>
      <c r="H60" s="10">
        <f>'BD SHEET FROM COMPANY'!E59</f>
        <v>9.3183999999999987</v>
      </c>
      <c r="I60" s="30">
        <f t="shared" si="5"/>
        <v>2.8401097226455345</v>
      </c>
      <c r="J60" s="31">
        <f>'BD SHEET FROM COMPANY'!F59</f>
        <v>1991</v>
      </c>
      <c r="K60" s="11">
        <v>2022</v>
      </c>
      <c r="L60" s="10">
        <f t="shared" si="6"/>
        <v>31</v>
      </c>
      <c r="M60" s="11">
        <v>60</v>
      </c>
      <c r="N60" s="12">
        <v>0.1</v>
      </c>
      <c r="O60" s="13">
        <f t="shared" si="0"/>
        <v>1.5000000000000001E-2</v>
      </c>
      <c r="P60" s="25">
        <f>IF((H60&lt;=5),VLOOKUP(D60,'building rates'!$B$30:$H$54,2,FALSE),IF(AND(H60&gt;5,H60&lt;=12),VLOOKUP(D60,'building rates'!$B$30:$H$54,3,FALSE),IF(AND(H60&gt;12,H60&lt;=15),VLOOKUP(D60,'building rates'!$B$30:$H$54,4,FALSE),IF(AND(H60&gt;15,H60&lt;=20),VLOOKUP(D60,'building rates'!$B$30:$H$54,5,FALSE),IF(AND(H60&gt;20,H60&lt;=25),VLOOKUP(D60,'building rates'!$B$30:$H$54,6,FALSE),IF(H60&gt;25,VLOOKUP(D60,'building rates'!$B$30:$H$54,7,FALSE),0))))))</f>
        <v>1000</v>
      </c>
      <c r="Q60" s="14">
        <f t="shared" si="1"/>
        <v>677880</v>
      </c>
      <c r="R60" s="14">
        <f t="shared" si="2"/>
        <v>315214.2</v>
      </c>
      <c r="S60" s="14">
        <f t="shared" si="3"/>
        <v>362665.8</v>
      </c>
      <c r="T60" s="15">
        <v>0.2</v>
      </c>
      <c r="U60" s="14">
        <f t="shared" si="7"/>
        <v>290132.64</v>
      </c>
      <c r="V60" s="3">
        <f t="shared" si="8"/>
        <v>428</v>
      </c>
    </row>
    <row r="61" spans="1:23" ht="16.5" hidden="1" x14ac:dyDescent="0.25">
      <c r="A61" s="7">
        <v>56</v>
      </c>
      <c r="B61" s="98" t="str">
        <f>'BD SHEET FROM COMPANY'!B60</f>
        <v xml:space="preserve">ELASTO TANK </v>
      </c>
      <c r="C61" s="7">
        <v>0</v>
      </c>
      <c r="D61" s="8" t="s">
        <v>169</v>
      </c>
      <c r="E61" s="9">
        <f>'BD SHEET FROM COMPANY'!K60</f>
        <v>2318.7799999999997</v>
      </c>
      <c r="F61" s="9"/>
      <c r="G61" s="95">
        <f t="shared" si="4"/>
        <v>215.4219195644701</v>
      </c>
      <c r="H61" s="10">
        <f>'BD SHEET FROM COMPANY'!E60</f>
        <v>0</v>
      </c>
      <c r="I61" s="30">
        <f t="shared" si="5"/>
        <v>0</v>
      </c>
      <c r="J61" s="31">
        <f>'BD SHEET FROM COMPANY'!F60</f>
        <v>1991</v>
      </c>
      <c r="K61" s="11">
        <v>2022</v>
      </c>
      <c r="L61" s="10">
        <f t="shared" si="6"/>
        <v>31</v>
      </c>
      <c r="M61" s="11">
        <v>40</v>
      </c>
      <c r="N61" s="12">
        <v>0.1</v>
      </c>
      <c r="O61" s="13">
        <f t="shared" si="0"/>
        <v>2.2499999999999999E-2</v>
      </c>
      <c r="P61" s="25">
        <f>IF((H61&lt;=5),VLOOKUP(D61,'building rates'!$B$30:$H$54,2,FALSE),IF(AND(H61&gt;5,H61&lt;=12),VLOOKUP(D61,'building rates'!$B$30:$H$54,3,FALSE),IF(AND(H61&gt;12,H61&lt;=15),VLOOKUP(D61,'building rates'!$B$30:$H$54,4,FALSE),IF(AND(H61&gt;15,H61&lt;=20),VLOOKUP(D61,'building rates'!$B$30:$H$54,5,FALSE),IF(AND(H61&gt;20,H61&lt;=25),VLOOKUP(D61,'building rates'!$B$30:$H$54,6,FALSE),IF(H61&gt;25,VLOOKUP(D61,'building rates'!$B$30:$H$54,7,FALSE),0))))))</f>
        <v>100</v>
      </c>
      <c r="Q61" s="14">
        <f t="shared" si="1"/>
        <v>231877.99999999997</v>
      </c>
      <c r="R61" s="14">
        <f t="shared" si="2"/>
        <v>161734.90499999997</v>
      </c>
      <c r="S61" s="14">
        <f t="shared" si="3"/>
        <v>70143.095000000001</v>
      </c>
      <c r="T61" s="15">
        <v>0.2</v>
      </c>
      <c r="U61" s="14">
        <f t="shared" si="7"/>
        <v>56114.476000000002</v>
      </c>
      <c r="V61" s="3">
        <f t="shared" si="8"/>
        <v>24.200000000000003</v>
      </c>
    </row>
    <row r="62" spans="1:23" ht="45" hidden="1" x14ac:dyDescent="0.25">
      <c r="A62" s="7">
        <v>57</v>
      </c>
      <c r="B62" s="98" t="str">
        <f>'BD SHEET FROM COMPANY'!B61</f>
        <v>ELASTO TANK (CONTROL ROOM)</v>
      </c>
      <c r="C62" s="7">
        <v>1</v>
      </c>
      <c r="D62" s="8" t="s">
        <v>158</v>
      </c>
      <c r="E62" s="9">
        <f>'BD SHEET FROM COMPANY'!K61</f>
        <v>473.44</v>
      </c>
      <c r="F62" s="9"/>
      <c r="G62" s="95">
        <f t="shared" si="4"/>
        <v>43.984057822908056</v>
      </c>
      <c r="H62" s="10">
        <f>'BD SHEET FROM COMPANY'!E61</f>
        <v>13.311999999999999</v>
      </c>
      <c r="I62" s="30">
        <f t="shared" si="5"/>
        <v>4.0572996037793354</v>
      </c>
      <c r="J62" s="31">
        <f>'BD SHEET FROM COMPANY'!F61</f>
        <v>1991</v>
      </c>
      <c r="K62" s="11">
        <v>2022</v>
      </c>
      <c r="L62" s="10">
        <f t="shared" si="6"/>
        <v>31</v>
      </c>
      <c r="M62" s="11">
        <v>60</v>
      </c>
      <c r="N62" s="12">
        <v>0.1</v>
      </c>
      <c r="O62" s="13">
        <f t="shared" si="0"/>
        <v>1.5000000000000001E-2</v>
      </c>
      <c r="P62" s="25">
        <f>IF((H62&lt;=5),VLOOKUP(D62,'building rates'!$B$30:$H$54,2,FALSE),IF(AND(H62&gt;5,H62&lt;=12),VLOOKUP(D62,'building rates'!$B$30:$H$54,3,FALSE),IF(AND(H62&gt;12,H62&lt;=15),VLOOKUP(D62,'building rates'!$B$30:$H$54,4,FALSE),IF(AND(H62&gt;15,H62&lt;=20),VLOOKUP(D62,'building rates'!$B$30:$H$54,5,FALSE),IF(AND(H62&gt;20,H62&lt;=25),VLOOKUP(D62,'building rates'!$B$30:$H$54,6,FALSE),IF(H62&gt;25,VLOOKUP(D62,'building rates'!$B$30:$H$54,7,FALSE),0))))))</f>
        <v>1200</v>
      </c>
      <c r="Q62" s="14">
        <f t="shared" si="1"/>
        <v>568128</v>
      </c>
      <c r="R62" s="14">
        <f t="shared" si="2"/>
        <v>264179.52</v>
      </c>
      <c r="S62" s="14">
        <f t="shared" si="3"/>
        <v>303948.48</v>
      </c>
      <c r="T62" s="15">
        <v>0.2</v>
      </c>
      <c r="U62" s="14">
        <f t="shared" si="7"/>
        <v>243158.78399999999</v>
      </c>
      <c r="V62" s="3">
        <f t="shared" si="8"/>
        <v>513.6</v>
      </c>
    </row>
    <row r="63" spans="1:23" ht="16.5" hidden="1" x14ac:dyDescent="0.25">
      <c r="A63" s="7">
        <v>58</v>
      </c>
      <c r="B63" s="98" t="str">
        <f>'BD SHEET FROM COMPANY'!B62</f>
        <v>10 KL HSD TANK</v>
      </c>
      <c r="C63" s="7">
        <v>0</v>
      </c>
      <c r="D63" s="8" t="s">
        <v>169</v>
      </c>
      <c r="E63" s="9">
        <f>'BD SHEET FROM COMPANY'!K62</f>
        <v>439.86880000000002</v>
      </c>
      <c r="F63" s="16">
        <f>10*1000</f>
        <v>10000</v>
      </c>
      <c r="G63" s="95">
        <f t="shared" si="4"/>
        <v>40.86518826819276</v>
      </c>
      <c r="H63" s="10">
        <f>'BD SHEET FROM COMPANY'!E62</f>
        <v>0</v>
      </c>
      <c r="I63" s="30">
        <f t="shared" si="5"/>
        <v>0</v>
      </c>
      <c r="J63" s="31">
        <f>'BD SHEET FROM COMPANY'!F62</f>
        <v>1991</v>
      </c>
      <c r="K63" s="11">
        <v>2022</v>
      </c>
      <c r="L63" s="10">
        <f t="shared" si="6"/>
        <v>31</v>
      </c>
      <c r="M63" s="11">
        <v>40</v>
      </c>
      <c r="N63" s="12">
        <v>0.1</v>
      </c>
      <c r="O63" s="13">
        <f t="shared" si="0"/>
        <v>2.2499999999999999E-2</v>
      </c>
      <c r="P63" s="35">
        <v>10</v>
      </c>
      <c r="Q63" s="14">
        <f>F63*P63</f>
        <v>100000</v>
      </c>
      <c r="R63" s="14">
        <f t="shared" si="2"/>
        <v>69750</v>
      </c>
      <c r="S63" s="14">
        <f t="shared" si="3"/>
        <v>30250</v>
      </c>
      <c r="T63" s="15">
        <v>0.2</v>
      </c>
      <c r="U63" s="14">
        <f t="shared" si="7"/>
        <v>24200</v>
      </c>
      <c r="V63" s="3">
        <f t="shared" si="8"/>
        <v>55.016404891640413</v>
      </c>
    </row>
    <row r="64" spans="1:23" ht="60" hidden="1" x14ac:dyDescent="0.25">
      <c r="A64" s="7">
        <v>59</v>
      </c>
      <c r="B64" s="98" t="str">
        <f>'BD SHEET FROM COMPANY'!B63</f>
        <v>CPH (CEMENT HOUSE)</v>
      </c>
      <c r="C64" s="7">
        <v>1</v>
      </c>
      <c r="D64" s="8" t="s">
        <v>170</v>
      </c>
      <c r="E64" s="9">
        <f>'BD SHEET FROM COMPANY'!K63</f>
        <v>2051.1788000000001</v>
      </c>
      <c r="F64" s="9"/>
      <c r="G64" s="95">
        <f t="shared" si="4"/>
        <v>190.56093051774917</v>
      </c>
      <c r="H64" s="10">
        <f>'BD SHEET FROM COMPANY'!E63</f>
        <v>19.968</v>
      </c>
      <c r="I64" s="30">
        <f t="shared" si="5"/>
        <v>6.0859494056690027</v>
      </c>
      <c r="J64" s="31">
        <f>'BD SHEET FROM COMPANY'!F63</f>
        <v>1991</v>
      </c>
      <c r="K64" s="11">
        <v>2022</v>
      </c>
      <c r="L64" s="10">
        <f t="shared" si="6"/>
        <v>31</v>
      </c>
      <c r="M64" s="11">
        <v>40</v>
      </c>
      <c r="N64" s="12">
        <v>0.1</v>
      </c>
      <c r="O64" s="13">
        <f t="shared" si="0"/>
        <v>2.2499999999999999E-2</v>
      </c>
      <c r="P64" s="25">
        <f>IF((H64&lt;=5),VLOOKUP(D64,'building rates'!$B$30:$H$54,2,FALSE),IF(AND(H64&gt;5,H64&lt;=12),VLOOKUP(D64,'building rates'!$B$30:$H$54,3,FALSE),IF(AND(H64&gt;12,H64&lt;=15),VLOOKUP(D64,'building rates'!$B$30:$H$54,4,FALSE),IF(AND(H64&gt;15,H64&lt;=20),VLOOKUP(D64,'building rates'!$B$30:$H$54,5,FALSE),IF(AND(H64&gt;20,H64&lt;=25),VLOOKUP(D64,'building rates'!$B$30:$H$54,6,FALSE),IF(H64&gt;25,VLOOKUP(D64,'building rates'!$B$30:$H$54,7,FALSE),0))))))</f>
        <v>700</v>
      </c>
      <c r="Q64" s="14">
        <f t="shared" si="1"/>
        <v>1435825.1600000001</v>
      </c>
      <c r="R64" s="14">
        <f t="shared" si="2"/>
        <v>1001488.0491000001</v>
      </c>
      <c r="S64" s="14">
        <f t="shared" si="3"/>
        <v>434337.11090000009</v>
      </c>
      <c r="T64" s="15">
        <v>0.2</v>
      </c>
      <c r="U64" s="14">
        <f t="shared" si="7"/>
        <v>347469.68872000009</v>
      </c>
      <c r="V64" s="3">
        <f t="shared" si="8"/>
        <v>169.40000000000003</v>
      </c>
    </row>
    <row r="65" spans="1:22" ht="16.5" hidden="1" x14ac:dyDescent="0.25">
      <c r="A65" s="7">
        <v>60</v>
      </c>
      <c r="B65" s="98" t="str">
        <f>'BD SHEET FROM COMPANY'!B64</f>
        <v>COOLING TOWER NO. 1</v>
      </c>
      <c r="C65" s="7">
        <v>0</v>
      </c>
      <c r="D65" s="8" t="s">
        <v>169</v>
      </c>
      <c r="E65" s="9">
        <f>'BD SHEET FROM COMPANY'!K64</f>
        <v>2944.1511999999998</v>
      </c>
      <c r="F65" s="9"/>
      <c r="G65" s="95">
        <f t="shared" si="4"/>
        <v>273.52086139782051</v>
      </c>
      <c r="H65" s="10">
        <f>'BD SHEET FROM COMPANY'!E64</f>
        <v>0</v>
      </c>
      <c r="I65" s="30">
        <f t="shared" si="5"/>
        <v>0</v>
      </c>
      <c r="J65" s="31">
        <f>'BD SHEET FROM COMPANY'!F64</f>
        <v>1991</v>
      </c>
      <c r="K65" s="11">
        <v>2022</v>
      </c>
      <c r="L65" s="10">
        <f t="shared" si="6"/>
        <v>31</v>
      </c>
      <c r="M65" s="11">
        <v>40</v>
      </c>
      <c r="N65" s="12">
        <v>0.1</v>
      </c>
      <c r="O65" s="13">
        <f t="shared" si="0"/>
        <v>2.2499999999999999E-2</v>
      </c>
      <c r="P65" s="25">
        <f>IF((H65&lt;=5),VLOOKUP(D65,'building rates'!$B$30:$H$54,2,FALSE),IF(AND(H65&gt;5,H65&lt;=12),VLOOKUP(D65,'building rates'!$B$30:$H$54,3,FALSE),IF(AND(H65&gt;12,H65&lt;=15),VLOOKUP(D65,'building rates'!$B$30:$H$54,4,FALSE),IF(AND(H65&gt;15,H65&lt;=20),VLOOKUP(D65,'building rates'!$B$30:$H$54,5,FALSE),IF(AND(H65&gt;20,H65&lt;=25),VLOOKUP(D65,'building rates'!$B$30:$H$54,6,FALSE),IF(H65&gt;25,VLOOKUP(D65,'building rates'!$B$30:$H$54,7,FALSE),0))))))</f>
        <v>100</v>
      </c>
      <c r="Q65" s="14">
        <f t="shared" si="1"/>
        <v>294415.12</v>
      </c>
      <c r="R65" s="14">
        <f t="shared" si="2"/>
        <v>205354.54619999998</v>
      </c>
      <c r="S65" s="14">
        <f t="shared" si="3"/>
        <v>89060.573800000013</v>
      </c>
      <c r="T65" s="15">
        <v>0.2</v>
      </c>
      <c r="U65" s="14">
        <f t="shared" si="7"/>
        <v>71248.459040000016</v>
      </c>
      <c r="V65" s="3">
        <f t="shared" si="8"/>
        <v>24.200000000000006</v>
      </c>
    </row>
    <row r="66" spans="1:22" ht="60" hidden="1" x14ac:dyDescent="0.25">
      <c r="A66" s="7">
        <v>61</v>
      </c>
      <c r="B66" s="98" t="str">
        <f>'BD SHEET FROM COMPANY'!B65</f>
        <v>COMPRESSOR/CHILLER</v>
      </c>
      <c r="C66" s="7">
        <v>1</v>
      </c>
      <c r="D66" s="8" t="s">
        <v>170</v>
      </c>
      <c r="E66" s="9">
        <f>'BD SHEET FROM COMPANY'!K65</f>
        <v>12080.144400000001</v>
      </c>
      <c r="F66" s="9"/>
      <c r="G66" s="95">
        <f t="shared" si="4"/>
        <v>1122.283224481833</v>
      </c>
      <c r="H66" s="10">
        <f>'BD SHEET FROM COMPANY'!E65</f>
        <v>19.968</v>
      </c>
      <c r="I66" s="30">
        <f t="shared" si="5"/>
        <v>6.0859494056690027</v>
      </c>
      <c r="J66" s="31">
        <f>'BD SHEET FROM COMPANY'!F65</f>
        <v>1991</v>
      </c>
      <c r="K66" s="11">
        <v>2022</v>
      </c>
      <c r="L66" s="10">
        <f t="shared" si="6"/>
        <v>31</v>
      </c>
      <c r="M66" s="11">
        <v>40</v>
      </c>
      <c r="N66" s="12">
        <v>0.1</v>
      </c>
      <c r="O66" s="13">
        <f t="shared" si="0"/>
        <v>2.2499999999999999E-2</v>
      </c>
      <c r="P66" s="25">
        <f>IF((H66&lt;=5),VLOOKUP(D66,'building rates'!$B$30:$H$54,2,FALSE),IF(AND(H66&gt;5,H66&lt;=12),VLOOKUP(D66,'building rates'!$B$30:$H$54,3,FALSE),IF(AND(H66&gt;12,H66&lt;=15),VLOOKUP(D66,'building rates'!$B$30:$H$54,4,FALSE),IF(AND(H66&gt;15,H66&lt;=20),VLOOKUP(D66,'building rates'!$B$30:$H$54,5,FALSE),IF(AND(H66&gt;20,H66&lt;=25),VLOOKUP(D66,'building rates'!$B$30:$H$54,6,FALSE),IF(H66&gt;25,VLOOKUP(D66,'building rates'!$B$30:$H$54,7,FALSE),0))))))</f>
        <v>700</v>
      </c>
      <c r="Q66" s="14">
        <f t="shared" si="1"/>
        <v>8456101.0800000001</v>
      </c>
      <c r="R66" s="14">
        <f t="shared" si="2"/>
        <v>5898130.5033</v>
      </c>
      <c r="S66" s="14">
        <f t="shared" si="3"/>
        <v>2557970.5767000001</v>
      </c>
      <c r="T66" s="15">
        <v>0.2</v>
      </c>
      <c r="U66" s="14">
        <f t="shared" si="7"/>
        <v>2046376.4613600001</v>
      </c>
      <c r="V66" s="3">
        <f t="shared" si="8"/>
        <v>169.4</v>
      </c>
    </row>
    <row r="67" spans="1:22" ht="60" hidden="1" x14ac:dyDescent="0.25">
      <c r="A67" s="7">
        <v>62</v>
      </c>
      <c r="B67" s="98" t="str">
        <f>'BD SHEET FROM COMPANY'!B66</f>
        <v>GENERAL STORES</v>
      </c>
      <c r="C67" s="7">
        <v>1</v>
      </c>
      <c r="D67" s="8" t="s">
        <v>170</v>
      </c>
      <c r="E67" s="9">
        <f>'BD SHEET FROM COMPANY'!K66</f>
        <v>11652.326800000001</v>
      </c>
      <c r="F67" s="9"/>
      <c r="G67" s="95">
        <f t="shared" si="4"/>
        <v>1082.5376304127687</v>
      </c>
      <c r="H67" s="10">
        <f>'BD SHEET FROM COMPANY'!E66</f>
        <v>28.288</v>
      </c>
      <c r="I67" s="30">
        <f t="shared" si="5"/>
        <v>8.6217616580310885</v>
      </c>
      <c r="J67" s="31">
        <f>'BD SHEET FROM COMPANY'!F66</f>
        <v>1991</v>
      </c>
      <c r="K67" s="11">
        <v>2022</v>
      </c>
      <c r="L67" s="10">
        <f t="shared" si="6"/>
        <v>31</v>
      </c>
      <c r="M67" s="11">
        <v>40</v>
      </c>
      <c r="N67" s="12">
        <v>0.1</v>
      </c>
      <c r="O67" s="13">
        <f t="shared" si="0"/>
        <v>2.2499999999999999E-2</v>
      </c>
      <c r="P67" s="25">
        <f>IF((H67&lt;=5),VLOOKUP(D67,'building rates'!$B$30:$H$54,2,FALSE),IF(AND(H67&gt;5,H67&lt;=12),VLOOKUP(D67,'building rates'!$B$30:$H$54,3,FALSE),IF(AND(H67&gt;12,H67&lt;=15),VLOOKUP(D67,'building rates'!$B$30:$H$54,4,FALSE),IF(AND(H67&gt;15,H67&lt;=20),VLOOKUP(D67,'building rates'!$B$30:$H$54,5,FALSE),IF(AND(H67&gt;20,H67&lt;=25),VLOOKUP(D67,'building rates'!$B$30:$H$54,6,FALSE),IF(H67&gt;25,VLOOKUP(D67,'building rates'!$B$30:$H$54,7,FALSE),0))))))</f>
        <v>1100</v>
      </c>
      <c r="Q67" s="14">
        <f t="shared" si="1"/>
        <v>12817559.48</v>
      </c>
      <c r="R67" s="14">
        <f t="shared" si="2"/>
        <v>8940247.7372999992</v>
      </c>
      <c r="S67" s="14">
        <f t="shared" si="3"/>
        <v>3877311.7427000012</v>
      </c>
      <c r="T67" s="15">
        <v>0.2</v>
      </c>
      <c r="U67" s="14">
        <f t="shared" si="7"/>
        <v>3101849.3941600011</v>
      </c>
      <c r="V67" s="3">
        <f t="shared" si="8"/>
        <v>266.2000000000001</v>
      </c>
    </row>
    <row r="68" spans="1:22" ht="45" hidden="1" x14ac:dyDescent="0.25">
      <c r="A68" s="7">
        <v>63</v>
      </c>
      <c r="B68" s="98" t="str">
        <f>'BD SHEET FROM COMPANY'!B67</f>
        <v>6.6 KVA STATION</v>
      </c>
      <c r="C68" s="7">
        <v>1</v>
      </c>
      <c r="D68" s="8" t="s">
        <v>158</v>
      </c>
      <c r="E68" s="9">
        <f>'BD SHEET FROM COMPANY'!K67</f>
        <v>5658.8991999999998</v>
      </c>
      <c r="F68" s="9"/>
      <c r="G68" s="95">
        <f t="shared" si="4"/>
        <v>525.72944750508645</v>
      </c>
      <c r="H68" s="10">
        <f>'BD SHEET FROM COMPANY'!E67</f>
        <v>19.968</v>
      </c>
      <c r="I68" s="30">
        <f t="shared" si="5"/>
        <v>6.0859494056690027</v>
      </c>
      <c r="J68" s="31">
        <f>'BD SHEET FROM COMPANY'!F67</f>
        <v>1991</v>
      </c>
      <c r="K68" s="11">
        <v>2022</v>
      </c>
      <c r="L68" s="10">
        <f t="shared" si="6"/>
        <v>31</v>
      </c>
      <c r="M68" s="11">
        <v>60</v>
      </c>
      <c r="N68" s="12">
        <v>0.1</v>
      </c>
      <c r="O68" s="13">
        <f t="shared" si="0"/>
        <v>1.5000000000000001E-2</v>
      </c>
      <c r="P68" s="25">
        <f>IF((H68&lt;=5),VLOOKUP(D68,'building rates'!$B$30:$H$54,2,FALSE),IF(AND(H68&gt;5,H68&lt;=12),VLOOKUP(D68,'building rates'!$B$30:$H$54,3,FALSE),IF(AND(H68&gt;12,H68&lt;=15),VLOOKUP(D68,'building rates'!$B$30:$H$54,4,FALSE),IF(AND(H68&gt;15,H68&lt;=20),VLOOKUP(D68,'building rates'!$B$30:$H$54,5,FALSE),IF(AND(H68&gt;20,H68&lt;=25),VLOOKUP(D68,'building rates'!$B$30:$H$54,6,FALSE),IF(H68&gt;25,VLOOKUP(D68,'building rates'!$B$30:$H$54,7,FALSE),0))))))</f>
        <v>1400</v>
      </c>
      <c r="Q68" s="14">
        <f t="shared" si="1"/>
        <v>7922458.8799999999</v>
      </c>
      <c r="R68" s="14">
        <f t="shared" si="2"/>
        <v>3683943.3792000003</v>
      </c>
      <c r="S68" s="14">
        <f t="shared" si="3"/>
        <v>4238515.5007999996</v>
      </c>
      <c r="T68" s="15">
        <v>0.2</v>
      </c>
      <c r="U68" s="14">
        <f t="shared" si="7"/>
        <v>3390812.4006399997</v>
      </c>
      <c r="V68" s="3">
        <f t="shared" si="8"/>
        <v>599.19999999999993</v>
      </c>
    </row>
    <row r="69" spans="1:22" ht="45" hidden="1" x14ac:dyDescent="0.25">
      <c r="A69" s="7">
        <v>64</v>
      </c>
      <c r="B69" s="98" t="str">
        <f>'BD SHEET FROM COMPANY'!B68</f>
        <v>MATERIAL HAND. WORKSHOP</v>
      </c>
      <c r="C69" s="7">
        <v>1</v>
      </c>
      <c r="D69" s="8" t="s">
        <v>158</v>
      </c>
      <c r="E69" s="9">
        <f>'BD SHEET FROM COMPANY'!K68</f>
        <v>2805.7775999999999</v>
      </c>
      <c r="F69" s="9"/>
      <c r="G69" s="95">
        <f t="shared" si="4"/>
        <v>260.66552086139779</v>
      </c>
      <c r="H69" s="10">
        <f>'BD SHEET FROM COMPANY'!E68</f>
        <v>23.295999999999999</v>
      </c>
      <c r="I69" s="30">
        <f t="shared" si="5"/>
        <v>7.1002743066138372</v>
      </c>
      <c r="J69" s="31">
        <f>'BD SHEET FROM COMPANY'!F68</f>
        <v>1991</v>
      </c>
      <c r="K69" s="11">
        <v>2022</v>
      </c>
      <c r="L69" s="10">
        <f t="shared" si="6"/>
        <v>31</v>
      </c>
      <c r="M69" s="11">
        <v>60</v>
      </c>
      <c r="N69" s="12">
        <v>0.1</v>
      </c>
      <c r="O69" s="13">
        <f t="shared" si="0"/>
        <v>1.5000000000000001E-2</v>
      </c>
      <c r="P69" s="25">
        <f>IF((H69&lt;=5),VLOOKUP(D69,'building rates'!$B$30:$H$54,2,FALSE),IF(AND(H69&gt;5,H69&lt;=12),VLOOKUP(D69,'building rates'!$B$30:$H$54,3,FALSE),IF(AND(H69&gt;12,H69&lt;=15),VLOOKUP(D69,'building rates'!$B$30:$H$54,4,FALSE),IF(AND(H69&gt;15,H69&lt;=20),VLOOKUP(D69,'building rates'!$B$30:$H$54,5,FALSE),IF(AND(H69&gt;20,H69&lt;=25),VLOOKUP(D69,'building rates'!$B$30:$H$54,6,FALSE),IF(H69&gt;25,VLOOKUP(D69,'building rates'!$B$30:$H$54,7,FALSE),0))))))</f>
        <v>1500</v>
      </c>
      <c r="Q69" s="14">
        <f t="shared" si="1"/>
        <v>4208666.3999999994</v>
      </c>
      <c r="R69" s="14">
        <f t="shared" si="2"/>
        <v>1957029.8759999999</v>
      </c>
      <c r="S69" s="14">
        <f t="shared" si="3"/>
        <v>2251636.5239999993</v>
      </c>
      <c r="T69" s="15">
        <v>0.2</v>
      </c>
      <c r="U69" s="14">
        <f t="shared" si="7"/>
        <v>1801309.2191999995</v>
      </c>
      <c r="V69" s="3">
        <f t="shared" si="8"/>
        <v>641.99999999999989</v>
      </c>
    </row>
    <row r="70" spans="1:22" ht="45" hidden="1" x14ac:dyDescent="0.25">
      <c r="A70" s="7">
        <v>65</v>
      </c>
      <c r="B70" s="98" t="str">
        <f>'BD SHEET FROM COMPANY'!B69</f>
        <v>BOILER HOUSE 20 TPH (MEZZ. FLOOR)</v>
      </c>
      <c r="C70" s="7">
        <v>1</v>
      </c>
      <c r="D70" s="8" t="s">
        <v>158</v>
      </c>
      <c r="E70" s="9">
        <f>'BD SHEET FROM COMPANY'!K69</f>
        <v>1016.8199999999999</v>
      </c>
      <c r="F70" s="9"/>
      <c r="G70" s="95">
        <f t="shared" si="4"/>
        <v>94.465760551472982</v>
      </c>
      <c r="H70" s="10">
        <f>'BD SHEET FROM COMPANY'!E69</f>
        <v>14.975999999999999</v>
      </c>
      <c r="I70" s="30">
        <f t="shared" si="5"/>
        <v>4.5644620542517522</v>
      </c>
      <c r="J70" s="31">
        <f>'BD SHEET FROM COMPANY'!F69</f>
        <v>1991</v>
      </c>
      <c r="K70" s="11">
        <v>2022</v>
      </c>
      <c r="L70" s="10">
        <f t="shared" si="6"/>
        <v>31</v>
      </c>
      <c r="M70" s="11">
        <v>60</v>
      </c>
      <c r="N70" s="12">
        <v>0.1</v>
      </c>
      <c r="O70" s="13">
        <f t="shared" ref="O70:O125" si="9">(1-N70)/M70</f>
        <v>1.5000000000000001E-2</v>
      </c>
      <c r="P70" s="25">
        <f>IF((H70&lt;=5),VLOOKUP(D70,'building rates'!$B$30:$H$54,2,FALSE),IF(AND(H70&gt;5,H70&lt;=12),VLOOKUP(D70,'building rates'!$B$30:$H$54,3,FALSE),IF(AND(H70&gt;12,H70&lt;=15),VLOOKUP(D70,'building rates'!$B$30:$H$54,4,FALSE),IF(AND(H70&gt;15,H70&lt;=20),VLOOKUP(D70,'building rates'!$B$30:$H$54,5,FALSE),IF(AND(H70&gt;20,H70&lt;=25),VLOOKUP(D70,'building rates'!$B$30:$H$54,6,FALSE),IF(H70&gt;25,VLOOKUP(D70,'building rates'!$B$30:$H$54,7,FALSE),0))))))</f>
        <v>1200</v>
      </c>
      <c r="Q70" s="14">
        <f t="shared" ref="Q70:Q125" si="10">P70*E70</f>
        <v>1220184</v>
      </c>
      <c r="R70" s="14">
        <f t="shared" ref="R70:R125" si="11">Q70*O70*L70</f>
        <v>567385.56000000006</v>
      </c>
      <c r="S70" s="14">
        <f t="shared" ref="S70:S125" si="12">MAX(Q70-R70,0)</f>
        <v>652798.43999999994</v>
      </c>
      <c r="T70" s="15">
        <v>0.2</v>
      </c>
      <c r="U70" s="14">
        <f t="shared" si="7"/>
        <v>522238.75199999998</v>
      </c>
      <c r="V70" s="3">
        <f t="shared" si="8"/>
        <v>513.6</v>
      </c>
    </row>
    <row r="71" spans="1:22" ht="45" hidden="1" x14ac:dyDescent="0.25">
      <c r="A71" s="7">
        <v>66</v>
      </c>
      <c r="B71" s="98" t="str">
        <f>'BD SHEET FROM COMPANY'!B70</f>
        <v>BOILER HOUSE 20 TPH (RCC SLAB)</v>
      </c>
      <c r="C71" s="7">
        <v>1</v>
      </c>
      <c r="D71" s="8" t="s">
        <v>158</v>
      </c>
      <c r="E71" s="9">
        <f>'BD SHEET FROM COMPANY'!K70</f>
        <v>2071.3000000000002</v>
      </c>
      <c r="F71" s="9"/>
      <c r="G71" s="95">
        <f t="shared" ref="G71:G125" si="13">E71/10.7639</f>
        <v>192.43025297522277</v>
      </c>
      <c r="H71" s="10">
        <f>'BD SHEET FROM COMPANY'!E70</f>
        <v>11.648</v>
      </c>
      <c r="I71" s="30">
        <f t="shared" ref="I71:I125" si="14">H71/3.281</f>
        <v>3.5501371533069186</v>
      </c>
      <c r="J71" s="31">
        <f>'BD SHEET FROM COMPANY'!F70</f>
        <v>1991</v>
      </c>
      <c r="K71" s="11">
        <v>2022</v>
      </c>
      <c r="L71" s="10">
        <f t="shared" ref="L71:L125" si="15">K71-J71</f>
        <v>31</v>
      </c>
      <c r="M71" s="11">
        <v>60</v>
      </c>
      <c r="N71" s="12">
        <v>0.1</v>
      </c>
      <c r="O71" s="13">
        <f t="shared" si="9"/>
        <v>1.5000000000000001E-2</v>
      </c>
      <c r="P71" s="25">
        <f>IF((H71&lt;=5),VLOOKUP(D71,'building rates'!$B$30:$H$54,2,FALSE),IF(AND(H71&gt;5,H71&lt;=12),VLOOKUP(D71,'building rates'!$B$30:$H$54,3,FALSE),IF(AND(H71&gt;12,H71&lt;=15),VLOOKUP(D71,'building rates'!$B$30:$H$54,4,FALSE),IF(AND(H71&gt;15,H71&lt;=20),VLOOKUP(D71,'building rates'!$B$30:$H$54,5,FALSE),IF(AND(H71&gt;20,H71&lt;=25),VLOOKUP(D71,'building rates'!$B$30:$H$54,6,FALSE),IF(H71&gt;25,VLOOKUP(D71,'building rates'!$B$30:$H$54,7,FALSE),0))))))</f>
        <v>1000</v>
      </c>
      <c r="Q71" s="14">
        <f t="shared" si="10"/>
        <v>2071300.0000000002</v>
      </c>
      <c r="R71" s="14">
        <f t="shared" si="11"/>
        <v>963154.50000000023</v>
      </c>
      <c r="S71" s="14">
        <f t="shared" si="12"/>
        <v>1108145.5</v>
      </c>
      <c r="T71" s="15">
        <v>0.2</v>
      </c>
      <c r="U71" s="14">
        <f t="shared" ref="U71:U125" si="16">IF(S71&gt;N71*Q71,S71*(1-T71),Q71*N71)</f>
        <v>886516.4</v>
      </c>
      <c r="V71" s="3">
        <f t="shared" ref="V71:V125" si="17">U71/E71</f>
        <v>428</v>
      </c>
    </row>
    <row r="72" spans="1:22" ht="16.5" hidden="1" x14ac:dyDescent="0.25">
      <c r="A72" s="7">
        <v>67</v>
      </c>
      <c r="B72" s="98" t="str">
        <f>'BD SHEET FROM COMPANY'!B71</f>
        <v>COOLING TOWER NO. 2</v>
      </c>
      <c r="C72" s="7">
        <v>0</v>
      </c>
      <c r="D72" s="8" t="s">
        <v>169</v>
      </c>
      <c r="E72" s="9">
        <f>'BD SHEET FROM COMPANY'!K71</f>
        <v>2944.1511999999998</v>
      </c>
      <c r="F72" s="9"/>
      <c r="G72" s="95">
        <f t="shared" si="13"/>
        <v>273.52086139782051</v>
      </c>
      <c r="H72" s="10">
        <f>'BD SHEET FROM COMPANY'!E71</f>
        <v>0</v>
      </c>
      <c r="I72" s="30">
        <f t="shared" si="14"/>
        <v>0</v>
      </c>
      <c r="J72" s="31">
        <f>'BD SHEET FROM COMPANY'!F71</f>
        <v>1991</v>
      </c>
      <c r="K72" s="11">
        <v>2022</v>
      </c>
      <c r="L72" s="10">
        <f t="shared" si="15"/>
        <v>31</v>
      </c>
      <c r="M72" s="11">
        <v>40</v>
      </c>
      <c r="N72" s="12">
        <v>0.1</v>
      </c>
      <c r="O72" s="13">
        <f t="shared" si="9"/>
        <v>2.2499999999999999E-2</v>
      </c>
      <c r="P72" s="25">
        <f>IF((H72&lt;=5),VLOOKUP(D72,'building rates'!$B$30:$H$54,2,FALSE),IF(AND(H72&gt;5,H72&lt;=12),VLOOKUP(D72,'building rates'!$B$30:$H$54,3,FALSE),IF(AND(H72&gt;12,H72&lt;=15),VLOOKUP(D72,'building rates'!$B$30:$H$54,4,FALSE),IF(AND(H72&gt;15,H72&lt;=20),VLOOKUP(D72,'building rates'!$B$30:$H$54,5,FALSE),IF(AND(H72&gt;20,H72&lt;=25),VLOOKUP(D72,'building rates'!$B$30:$H$54,6,FALSE),IF(H72&gt;25,VLOOKUP(D72,'building rates'!$B$30:$H$54,7,FALSE),0))))))</f>
        <v>100</v>
      </c>
      <c r="Q72" s="14">
        <f t="shared" si="10"/>
        <v>294415.12</v>
      </c>
      <c r="R72" s="14">
        <f t="shared" si="11"/>
        <v>205354.54619999998</v>
      </c>
      <c r="S72" s="14">
        <f t="shared" si="12"/>
        <v>89060.573800000013</v>
      </c>
      <c r="T72" s="15">
        <v>0.2</v>
      </c>
      <c r="U72" s="14">
        <f t="shared" si="16"/>
        <v>71248.459040000016</v>
      </c>
      <c r="V72" s="3">
        <f t="shared" si="17"/>
        <v>24.200000000000006</v>
      </c>
    </row>
    <row r="73" spans="1:22" ht="16.5" hidden="1" x14ac:dyDescent="0.25">
      <c r="A73" s="7">
        <v>68</v>
      </c>
      <c r="B73" s="98" t="str">
        <f>'BD SHEET FROM COMPANY'!B72</f>
        <v>COOLING TOWER NO. 3</v>
      </c>
      <c r="C73" s="7">
        <v>0</v>
      </c>
      <c r="D73" s="8" t="s">
        <v>169</v>
      </c>
      <c r="E73" s="9">
        <f>'BD SHEET FROM COMPANY'!K72</f>
        <v>2943.9360000000001</v>
      </c>
      <c r="F73" s="9"/>
      <c r="G73" s="95">
        <f t="shared" si="13"/>
        <v>273.50086864426464</v>
      </c>
      <c r="H73" s="10">
        <f>'BD SHEET FROM COMPANY'!E72</f>
        <v>0</v>
      </c>
      <c r="I73" s="30">
        <f t="shared" si="14"/>
        <v>0</v>
      </c>
      <c r="J73" s="31">
        <f>'BD SHEET FROM COMPANY'!F72</f>
        <v>1991</v>
      </c>
      <c r="K73" s="11">
        <v>2022</v>
      </c>
      <c r="L73" s="10">
        <f t="shared" si="15"/>
        <v>31</v>
      </c>
      <c r="M73" s="11">
        <v>40</v>
      </c>
      <c r="N73" s="12">
        <v>0.1</v>
      </c>
      <c r="O73" s="13">
        <f t="shared" si="9"/>
        <v>2.2499999999999999E-2</v>
      </c>
      <c r="P73" s="25">
        <f>IF((H73&lt;=5),VLOOKUP(D73,'building rates'!$B$30:$H$54,2,FALSE),IF(AND(H73&gt;5,H73&lt;=12),VLOOKUP(D73,'building rates'!$B$30:$H$54,3,FALSE),IF(AND(H73&gt;12,H73&lt;=15),VLOOKUP(D73,'building rates'!$B$30:$H$54,4,FALSE),IF(AND(H73&gt;15,H73&lt;=20),VLOOKUP(D73,'building rates'!$B$30:$H$54,5,FALSE),IF(AND(H73&gt;20,H73&lt;=25),VLOOKUP(D73,'building rates'!$B$30:$H$54,6,FALSE),IF(H73&gt;25,VLOOKUP(D73,'building rates'!$B$30:$H$54,7,FALSE),0))))))</f>
        <v>100</v>
      </c>
      <c r="Q73" s="14">
        <f t="shared" si="10"/>
        <v>294393.60000000003</v>
      </c>
      <c r="R73" s="14">
        <f t="shared" si="11"/>
        <v>205339.53600000002</v>
      </c>
      <c r="S73" s="14">
        <f t="shared" si="12"/>
        <v>89054.064000000013</v>
      </c>
      <c r="T73" s="15">
        <v>0.2</v>
      </c>
      <c r="U73" s="14">
        <f t="shared" si="16"/>
        <v>71243.251200000013</v>
      </c>
      <c r="V73" s="3">
        <f t="shared" si="17"/>
        <v>24.200000000000003</v>
      </c>
    </row>
    <row r="74" spans="1:22" ht="45" hidden="1" x14ac:dyDescent="0.25">
      <c r="A74" s="7">
        <v>69</v>
      </c>
      <c r="B74" s="98" t="str">
        <f>'BD SHEET FROM COMPANY'!B73</f>
        <v>D.M.PLANT</v>
      </c>
      <c r="C74" s="7">
        <v>1</v>
      </c>
      <c r="D74" s="8" t="s">
        <v>158</v>
      </c>
      <c r="E74" s="9">
        <f>'BD SHEET FROM COMPANY'!K73</f>
        <v>4224.1607999999997</v>
      </c>
      <c r="F74" s="9"/>
      <c r="G74" s="95">
        <f t="shared" si="13"/>
        <v>392.43775954811917</v>
      </c>
      <c r="H74" s="10">
        <f>'BD SHEET FROM COMPANY'!E73</f>
        <v>23.295999999999999</v>
      </c>
      <c r="I74" s="30">
        <f t="shared" si="14"/>
        <v>7.1002743066138372</v>
      </c>
      <c r="J74" s="31">
        <f>'BD SHEET FROM COMPANY'!F73</f>
        <v>1991</v>
      </c>
      <c r="K74" s="11">
        <v>2022</v>
      </c>
      <c r="L74" s="10">
        <f t="shared" si="15"/>
        <v>31</v>
      </c>
      <c r="M74" s="11">
        <v>60</v>
      </c>
      <c r="N74" s="12">
        <v>0.1</v>
      </c>
      <c r="O74" s="13">
        <f t="shared" si="9"/>
        <v>1.5000000000000001E-2</v>
      </c>
      <c r="P74" s="25">
        <f>IF((H74&lt;=5),VLOOKUP(D74,'building rates'!$B$30:$H$54,2,FALSE),IF(AND(H74&gt;5,H74&lt;=12),VLOOKUP(D74,'building rates'!$B$30:$H$54,3,FALSE),IF(AND(H74&gt;12,H74&lt;=15),VLOOKUP(D74,'building rates'!$B$30:$H$54,4,FALSE),IF(AND(H74&gt;15,H74&lt;=20),VLOOKUP(D74,'building rates'!$B$30:$H$54,5,FALSE),IF(AND(H74&gt;20,H74&lt;=25),VLOOKUP(D74,'building rates'!$B$30:$H$54,6,FALSE),IF(H74&gt;25,VLOOKUP(D74,'building rates'!$B$30:$H$54,7,FALSE),0))))))</f>
        <v>1500</v>
      </c>
      <c r="Q74" s="14">
        <f t="shared" si="10"/>
        <v>6336241.1999999993</v>
      </c>
      <c r="R74" s="14">
        <f t="shared" si="11"/>
        <v>2946352.1580000003</v>
      </c>
      <c r="S74" s="14">
        <f t="shared" si="12"/>
        <v>3389889.041999999</v>
      </c>
      <c r="T74" s="15">
        <v>0.2</v>
      </c>
      <c r="U74" s="14">
        <f t="shared" si="16"/>
        <v>2711911.2335999995</v>
      </c>
      <c r="V74" s="3">
        <f t="shared" si="17"/>
        <v>641.99999999999989</v>
      </c>
    </row>
    <row r="75" spans="1:22" ht="16.5" hidden="1" x14ac:dyDescent="0.25">
      <c r="A75" s="7">
        <v>70</v>
      </c>
      <c r="B75" s="98" t="str">
        <f>'BD SHEET FROM COMPANY'!B74</f>
        <v>D.M.PLANT YARD</v>
      </c>
      <c r="C75" s="7">
        <v>1</v>
      </c>
      <c r="D75" s="8" t="s">
        <v>169</v>
      </c>
      <c r="E75" s="9">
        <f>'BD SHEET FROM COMPANY'!K74</f>
        <v>6461.38</v>
      </c>
      <c r="F75" s="9"/>
      <c r="G75" s="95">
        <f t="shared" si="13"/>
        <v>600.28242551491564</v>
      </c>
      <c r="H75" s="10">
        <f>'BD SHEET FROM COMPANY'!E74</f>
        <v>0</v>
      </c>
      <c r="I75" s="30">
        <f t="shared" si="14"/>
        <v>0</v>
      </c>
      <c r="J75" s="31">
        <f>'BD SHEET FROM COMPANY'!F74</f>
        <v>1991</v>
      </c>
      <c r="K75" s="11">
        <v>2022</v>
      </c>
      <c r="L75" s="10">
        <f t="shared" si="15"/>
        <v>31</v>
      </c>
      <c r="M75" s="11">
        <v>40</v>
      </c>
      <c r="N75" s="12">
        <v>0.1</v>
      </c>
      <c r="O75" s="13">
        <f t="shared" si="9"/>
        <v>2.2499999999999999E-2</v>
      </c>
      <c r="P75" s="25">
        <f>IF((H75&lt;=5),VLOOKUP(D75,'building rates'!$B$30:$H$54,2,FALSE),IF(AND(H75&gt;5,H75&lt;=12),VLOOKUP(D75,'building rates'!$B$30:$H$54,3,FALSE),IF(AND(H75&gt;12,H75&lt;=15),VLOOKUP(D75,'building rates'!$B$30:$H$54,4,FALSE),IF(AND(H75&gt;15,H75&lt;=20),VLOOKUP(D75,'building rates'!$B$30:$H$54,5,FALSE),IF(AND(H75&gt;20,H75&lt;=25),VLOOKUP(D75,'building rates'!$B$30:$H$54,6,FALSE),IF(H75&gt;25,VLOOKUP(D75,'building rates'!$B$30:$H$54,7,FALSE),0))))))</f>
        <v>100</v>
      </c>
      <c r="Q75" s="14">
        <f t="shared" si="10"/>
        <v>646138</v>
      </c>
      <c r="R75" s="14">
        <f t="shared" si="11"/>
        <v>450681.255</v>
      </c>
      <c r="S75" s="14">
        <f t="shared" si="12"/>
        <v>195456.745</v>
      </c>
      <c r="T75" s="15">
        <v>0.2</v>
      </c>
      <c r="U75" s="14">
        <f t="shared" si="16"/>
        <v>156365.39600000001</v>
      </c>
      <c r="V75" s="3">
        <f t="shared" si="17"/>
        <v>24.2</v>
      </c>
    </row>
    <row r="76" spans="1:22" ht="45" hidden="1" x14ac:dyDescent="0.25">
      <c r="A76" s="7">
        <v>71</v>
      </c>
      <c r="B76" s="98" t="str">
        <f>'BD SHEET FROM COMPANY'!B75</f>
        <v>PLANT GATE</v>
      </c>
      <c r="C76" s="7">
        <v>1</v>
      </c>
      <c r="D76" s="8" t="s">
        <v>158</v>
      </c>
      <c r="E76" s="9">
        <f>'BD SHEET FROM COMPANY'!K75</f>
        <v>4789.8139999999994</v>
      </c>
      <c r="F76" s="9"/>
      <c r="G76" s="95">
        <f t="shared" si="13"/>
        <v>444.9887122697163</v>
      </c>
      <c r="H76" s="10">
        <f>'BD SHEET FROM COMPANY'!E75</f>
        <v>11.648</v>
      </c>
      <c r="I76" s="30">
        <f t="shared" si="14"/>
        <v>3.5501371533069186</v>
      </c>
      <c r="J76" s="31">
        <f>'BD SHEET FROM COMPANY'!F75</f>
        <v>1991</v>
      </c>
      <c r="K76" s="11">
        <v>2022</v>
      </c>
      <c r="L76" s="10">
        <f t="shared" si="15"/>
        <v>31</v>
      </c>
      <c r="M76" s="11">
        <v>60</v>
      </c>
      <c r="N76" s="12">
        <v>0.1</v>
      </c>
      <c r="O76" s="13">
        <f t="shared" si="9"/>
        <v>1.5000000000000001E-2</v>
      </c>
      <c r="P76" s="25">
        <f>IF((H76&lt;=5),VLOOKUP(D76,'building rates'!$B$30:$H$54,2,FALSE),IF(AND(H76&gt;5,H76&lt;=12),VLOOKUP(D76,'building rates'!$B$30:$H$54,3,FALSE),IF(AND(H76&gt;12,H76&lt;=15),VLOOKUP(D76,'building rates'!$B$30:$H$54,4,FALSE),IF(AND(H76&gt;15,H76&lt;=20),VLOOKUP(D76,'building rates'!$B$30:$H$54,5,FALSE),IF(AND(H76&gt;20,H76&lt;=25),VLOOKUP(D76,'building rates'!$B$30:$H$54,6,FALSE),IF(H76&gt;25,VLOOKUP(D76,'building rates'!$B$30:$H$54,7,FALSE),0))))))</f>
        <v>1000</v>
      </c>
      <c r="Q76" s="14">
        <f t="shared" si="10"/>
        <v>4789813.9999999991</v>
      </c>
      <c r="R76" s="14">
        <f t="shared" si="11"/>
        <v>2227263.5099999998</v>
      </c>
      <c r="S76" s="14">
        <f t="shared" si="12"/>
        <v>2562550.4899999993</v>
      </c>
      <c r="T76" s="15">
        <v>0.15</v>
      </c>
      <c r="U76" s="14">
        <f t="shared" si="16"/>
        <v>2178167.9164999994</v>
      </c>
      <c r="V76" s="3">
        <f t="shared" si="17"/>
        <v>454.74999999999994</v>
      </c>
    </row>
    <row r="77" spans="1:22" ht="45" hidden="1" x14ac:dyDescent="0.25">
      <c r="A77" s="7">
        <v>72</v>
      </c>
      <c r="B77" s="98" t="str">
        <f>'BD SHEET FROM COMPANY'!B76</f>
        <v>WEIGH BRIDGE # 1 &amp; 2</v>
      </c>
      <c r="C77" s="7">
        <v>1</v>
      </c>
      <c r="D77" s="8" t="s">
        <v>158</v>
      </c>
      <c r="E77" s="9">
        <f>'BD SHEET FROM COMPANY'!K76</f>
        <v>217.56719999999999</v>
      </c>
      <c r="F77" s="9"/>
      <c r="G77" s="95">
        <f t="shared" si="13"/>
        <v>20.212673844981836</v>
      </c>
      <c r="H77" s="10">
        <f>'BD SHEET FROM COMPANY'!E76</f>
        <v>8.32</v>
      </c>
      <c r="I77" s="30">
        <f t="shared" si="14"/>
        <v>2.5358122523620845</v>
      </c>
      <c r="J77" s="31">
        <f>'BD SHEET FROM COMPANY'!F76</f>
        <v>1991</v>
      </c>
      <c r="K77" s="11">
        <v>2022</v>
      </c>
      <c r="L77" s="10">
        <f t="shared" si="15"/>
        <v>31</v>
      </c>
      <c r="M77" s="11">
        <v>60</v>
      </c>
      <c r="N77" s="12">
        <v>0.1</v>
      </c>
      <c r="O77" s="13">
        <f t="shared" si="9"/>
        <v>1.5000000000000001E-2</v>
      </c>
      <c r="P77" s="25">
        <f>IF((H77&lt;=5),VLOOKUP(D77,'building rates'!$B$30:$H$54,2,FALSE),IF(AND(H77&gt;5,H77&lt;=12),VLOOKUP(D77,'building rates'!$B$30:$H$54,3,FALSE),IF(AND(H77&gt;12,H77&lt;=15),VLOOKUP(D77,'building rates'!$B$30:$H$54,4,FALSE),IF(AND(H77&gt;15,H77&lt;=20),VLOOKUP(D77,'building rates'!$B$30:$H$54,5,FALSE),IF(AND(H77&gt;20,H77&lt;=25),VLOOKUP(D77,'building rates'!$B$30:$H$54,6,FALSE),IF(H77&gt;25,VLOOKUP(D77,'building rates'!$B$30:$H$54,7,FALSE),0))))))</f>
        <v>1000</v>
      </c>
      <c r="Q77" s="14">
        <f t="shared" si="10"/>
        <v>217567.19999999998</v>
      </c>
      <c r="R77" s="14">
        <f t="shared" si="11"/>
        <v>101168.74799999999</v>
      </c>
      <c r="S77" s="14">
        <f t="shared" si="12"/>
        <v>116398.45199999999</v>
      </c>
      <c r="T77" s="15">
        <v>0.15</v>
      </c>
      <c r="U77" s="14">
        <f t="shared" si="16"/>
        <v>98938.684199999989</v>
      </c>
      <c r="V77" s="3">
        <f t="shared" si="17"/>
        <v>454.75</v>
      </c>
    </row>
    <row r="78" spans="1:22" ht="60" hidden="1" x14ac:dyDescent="0.25">
      <c r="A78" s="7">
        <v>73</v>
      </c>
      <c r="B78" s="98" t="str">
        <f>'BD SHEET FROM COMPANY'!B77</f>
        <v>CHEMICAL HOUSE - 1</v>
      </c>
      <c r="C78" s="7">
        <v>1</v>
      </c>
      <c r="D78" s="8" t="s">
        <v>170</v>
      </c>
      <c r="E78" s="9">
        <f>'BD SHEET FROM COMPANY'!K77</f>
        <v>225.96</v>
      </c>
      <c r="F78" s="9"/>
      <c r="G78" s="95">
        <f t="shared" si="13"/>
        <v>20.992391233660662</v>
      </c>
      <c r="H78" s="10">
        <f>'BD SHEET FROM COMPANY'!E77</f>
        <v>14.975999999999999</v>
      </c>
      <c r="I78" s="30">
        <f t="shared" si="14"/>
        <v>4.5644620542517522</v>
      </c>
      <c r="J78" s="31">
        <f>'BD SHEET FROM COMPANY'!F77</f>
        <v>1991</v>
      </c>
      <c r="K78" s="11">
        <v>2022</v>
      </c>
      <c r="L78" s="10">
        <f t="shared" si="15"/>
        <v>31</v>
      </c>
      <c r="M78" s="11">
        <v>40</v>
      </c>
      <c r="N78" s="12">
        <v>0.1</v>
      </c>
      <c r="O78" s="13">
        <f t="shared" si="9"/>
        <v>2.2499999999999999E-2</v>
      </c>
      <c r="P78" s="25">
        <f>IF((H78&lt;=5),VLOOKUP(D78,'building rates'!$B$30:$H$54,2,FALSE),IF(AND(H78&gt;5,H78&lt;=12),VLOOKUP(D78,'building rates'!$B$30:$H$54,3,FALSE),IF(AND(H78&gt;12,H78&lt;=15),VLOOKUP(D78,'building rates'!$B$30:$H$54,4,FALSE),IF(AND(H78&gt;15,H78&lt;=20),VLOOKUP(D78,'building rates'!$B$30:$H$54,5,FALSE),IF(AND(H78&gt;20,H78&lt;=25),VLOOKUP(D78,'building rates'!$B$30:$H$54,6,FALSE),IF(H78&gt;25,VLOOKUP(D78,'building rates'!$B$30:$H$54,7,FALSE),0))))))</f>
        <v>500</v>
      </c>
      <c r="Q78" s="14">
        <f t="shared" si="10"/>
        <v>112980</v>
      </c>
      <c r="R78" s="14">
        <f t="shared" si="11"/>
        <v>78803.549999999988</v>
      </c>
      <c r="S78" s="14">
        <f t="shared" si="12"/>
        <v>34176.450000000012</v>
      </c>
      <c r="T78" s="15">
        <v>0.2</v>
      </c>
      <c r="U78" s="14">
        <f t="shared" si="16"/>
        <v>27341.160000000011</v>
      </c>
      <c r="V78" s="3">
        <f t="shared" si="17"/>
        <v>121.00000000000004</v>
      </c>
    </row>
    <row r="79" spans="1:22" ht="60" hidden="1" x14ac:dyDescent="0.25">
      <c r="A79" s="7">
        <v>74</v>
      </c>
      <c r="B79" s="98" t="str">
        <f>'BD SHEET FROM COMPANY'!B78</f>
        <v>CHEMICAL HOUSE - 2</v>
      </c>
      <c r="C79" s="7">
        <v>1</v>
      </c>
      <c r="D79" s="8" t="s">
        <v>170</v>
      </c>
      <c r="E79" s="9">
        <f>'BD SHEET FROM COMPANY'!K78</f>
        <v>129.12</v>
      </c>
      <c r="F79" s="9"/>
      <c r="G79" s="95">
        <f t="shared" si="13"/>
        <v>11.995652133520379</v>
      </c>
      <c r="H79" s="10">
        <f>'BD SHEET FROM COMPANY'!E78</f>
        <v>21.631999999999998</v>
      </c>
      <c r="I79" s="30">
        <f t="shared" si="14"/>
        <v>6.5931118561414195</v>
      </c>
      <c r="J79" s="31">
        <f>'BD SHEET FROM COMPANY'!F78</f>
        <v>1991</v>
      </c>
      <c r="K79" s="11">
        <v>2022</v>
      </c>
      <c r="L79" s="10">
        <f t="shared" si="15"/>
        <v>31</v>
      </c>
      <c r="M79" s="11">
        <v>40</v>
      </c>
      <c r="N79" s="12">
        <v>0.1</v>
      </c>
      <c r="O79" s="13">
        <f t="shared" si="9"/>
        <v>2.2499999999999999E-2</v>
      </c>
      <c r="P79" s="25">
        <f>IF((H79&lt;=5),VLOOKUP(D79,'building rates'!$B$30:$H$54,2,FALSE),IF(AND(H79&gt;5,H79&lt;=12),VLOOKUP(D79,'building rates'!$B$30:$H$54,3,FALSE),IF(AND(H79&gt;12,H79&lt;=15),VLOOKUP(D79,'building rates'!$B$30:$H$54,4,FALSE),IF(AND(H79&gt;15,H79&lt;=20),VLOOKUP(D79,'building rates'!$B$30:$H$54,5,FALSE),IF(AND(H79&gt;20,H79&lt;=25),VLOOKUP(D79,'building rates'!$B$30:$H$54,6,FALSE),IF(H79&gt;25,VLOOKUP(D79,'building rates'!$B$30:$H$54,7,FALSE),0))))))</f>
        <v>900</v>
      </c>
      <c r="Q79" s="14">
        <f t="shared" si="10"/>
        <v>116208</v>
      </c>
      <c r="R79" s="14">
        <f t="shared" si="11"/>
        <v>81055.08</v>
      </c>
      <c r="S79" s="14">
        <f t="shared" si="12"/>
        <v>35152.92</v>
      </c>
      <c r="T79" s="15">
        <v>0.2</v>
      </c>
      <c r="U79" s="14">
        <f t="shared" si="16"/>
        <v>28122.335999999999</v>
      </c>
      <c r="V79" s="3">
        <f t="shared" si="17"/>
        <v>217.79999999999998</v>
      </c>
    </row>
    <row r="80" spans="1:22" ht="45" hidden="1" x14ac:dyDescent="0.25">
      <c r="A80" s="7">
        <v>75</v>
      </c>
      <c r="B80" s="98" t="str">
        <f>'BD SHEET FROM COMPANY'!B79</f>
        <v>PUMP HOUSE</v>
      </c>
      <c r="C80" s="7">
        <v>1</v>
      </c>
      <c r="D80" s="8" t="s">
        <v>158</v>
      </c>
      <c r="E80" s="9">
        <f>'BD SHEET FROM COMPANY'!K79</f>
        <v>2135.3219999999997</v>
      </c>
      <c r="F80" s="9"/>
      <c r="G80" s="95">
        <f t="shared" si="13"/>
        <v>198.37809715809323</v>
      </c>
      <c r="H80" s="10">
        <f>'BD SHEET FROM COMPANY'!E79</f>
        <v>36.607999999999997</v>
      </c>
      <c r="I80" s="30">
        <f t="shared" si="14"/>
        <v>11.157573910393172</v>
      </c>
      <c r="J80" s="31">
        <f>'BD SHEET FROM COMPANY'!F79</f>
        <v>1991</v>
      </c>
      <c r="K80" s="11">
        <v>2022</v>
      </c>
      <c r="L80" s="10">
        <f t="shared" si="15"/>
        <v>31</v>
      </c>
      <c r="M80" s="11">
        <v>60</v>
      </c>
      <c r="N80" s="12">
        <v>0.1</v>
      </c>
      <c r="O80" s="13">
        <f t="shared" si="9"/>
        <v>1.5000000000000001E-2</v>
      </c>
      <c r="P80" s="25">
        <f>IF((H80&lt;=5),VLOOKUP(D80,'building rates'!$B$30:$H$54,2,FALSE),IF(AND(H80&gt;5,H80&lt;=12),VLOOKUP(D80,'building rates'!$B$30:$H$54,3,FALSE),IF(AND(H80&gt;12,H80&lt;=15),VLOOKUP(D80,'building rates'!$B$30:$H$54,4,FALSE),IF(AND(H80&gt;15,H80&lt;=20),VLOOKUP(D80,'building rates'!$B$30:$H$54,5,FALSE),IF(AND(H80&gt;20,H80&lt;=25),VLOOKUP(D80,'building rates'!$B$30:$H$54,6,FALSE),IF(H80&gt;25,VLOOKUP(D80,'building rates'!$B$30:$H$54,7,FALSE),0))))))</f>
        <v>1700</v>
      </c>
      <c r="Q80" s="14">
        <f t="shared" si="10"/>
        <v>3630047.3999999994</v>
      </c>
      <c r="R80" s="14">
        <f t="shared" si="11"/>
        <v>1687972.041</v>
      </c>
      <c r="S80" s="14">
        <f t="shared" si="12"/>
        <v>1942075.3589999995</v>
      </c>
      <c r="T80" s="15">
        <v>0.2</v>
      </c>
      <c r="U80" s="14">
        <f t="shared" si="16"/>
        <v>1553660.2871999997</v>
      </c>
      <c r="V80" s="3">
        <f t="shared" si="17"/>
        <v>727.59999999999991</v>
      </c>
    </row>
    <row r="81" spans="1:22" ht="45" hidden="1" x14ac:dyDescent="0.25">
      <c r="A81" s="7">
        <v>76</v>
      </c>
      <c r="B81" s="98" t="str">
        <f>'BD SHEET FROM COMPANY'!B80</f>
        <v>CAR STAND</v>
      </c>
      <c r="C81" s="7">
        <v>1</v>
      </c>
      <c r="D81" s="8" t="s">
        <v>158</v>
      </c>
      <c r="E81" s="9">
        <f>'BD SHEET FROM COMPANY'!K80</f>
        <v>6589.9620000000004</v>
      </c>
      <c r="F81" s="9"/>
      <c r="G81" s="95">
        <f t="shared" si="13"/>
        <v>612.22809576454642</v>
      </c>
      <c r="H81" s="10">
        <f>'BD SHEET FROM COMPANY'!E80</f>
        <v>10.316800000000001</v>
      </c>
      <c r="I81" s="30">
        <f t="shared" si="14"/>
        <v>3.144407192928985</v>
      </c>
      <c r="J81" s="31">
        <f>'BD SHEET FROM COMPANY'!F80</f>
        <v>1991</v>
      </c>
      <c r="K81" s="11">
        <v>2022</v>
      </c>
      <c r="L81" s="10">
        <f t="shared" si="15"/>
        <v>31</v>
      </c>
      <c r="M81" s="11">
        <v>60</v>
      </c>
      <c r="N81" s="12">
        <v>0.1</v>
      </c>
      <c r="O81" s="13">
        <f t="shared" si="9"/>
        <v>1.5000000000000001E-2</v>
      </c>
      <c r="P81" s="25">
        <f>IF((H81&lt;=5),VLOOKUP(D81,'building rates'!$B$30:$H$54,2,FALSE),IF(AND(H81&gt;5,H81&lt;=12),VLOOKUP(D81,'building rates'!$B$30:$H$54,3,FALSE),IF(AND(H81&gt;12,H81&lt;=15),VLOOKUP(D81,'building rates'!$B$30:$H$54,4,FALSE),IF(AND(H81&gt;15,H81&lt;=20),VLOOKUP(D81,'building rates'!$B$30:$H$54,5,FALSE),IF(AND(H81&gt;20,H81&lt;=25),VLOOKUP(D81,'building rates'!$B$30:$H$54,6,FALSE),IF(H81&gt;25,VLOOKUP(D81,'building rates'!$B$30:$H$54,7,FALSE),0))))))</f>
        <v>1000</v>
      </c>
      <c r="Q81" s="14">
        <f t="shared" si="10"/>
        <v>6589962</v>
      </c>
      <c r="R81" s="14">
        <f t="shared" si="11"/>
        <v>3064332.33</v>
      </c>
      <c r="S81" s="14">
        <f t="shared" si="12"/>
        <v>3525629.67</v>
      </c>
      <c r="T81" s="15">
        <v>0.15</v>
      </c>
      <c r="U81" s="14">
        <f t="shared" si="16"/>
        <v>2996785.2194999997</v>
      </c>
      <c r="V81" s="3">
        <f t="shared" si="17"/>
        <v>454.74999999999994</v>
      </c>
    </row>
    <row r="82" spans="1:22" ht="45" hidden="1" x14ac:dyDescent="0.25">
      <c r="A82" s="7">
        <v>77</v>
      </c>
      <c r="B82" s="98" t="str">
        <f>'BD SHEET FROM COMPANY'!B81</f>
        <v>MAIN GATE</v>
      </c>
      <c r="C82" s="7">
        <v>1</v>
      </c>
      <c r="D82" s="8" t="s">
        <v>158</v>
      </c>
      <c r="E82" s="9">
        <f>'BD SHEET FROM COMPANY'!K81</f>
        <v>89.953599999999994</v>
      </c>
      <c r="F82" s="9"/>
      <c r="G82" s="95">
        <f t="shared" si="13"/>
        <v>8.3569709863525308</v>
      </c>
      <c r="H82" s="10">
        <f>'BD SHEET FROM COMPANY'!E81</f>
        <v>8.4863999999999997</v>
      </c>
      <c r="I82" s="30">
        <f t="shared" si="14"/>
        <v>2.5865284974093261</v>
      </c>
      <c r="J82" s="31">
        <f>'BD SHEET FROM COMPANY'!F81</f>
        <v>1991</v>
      </c>
      <c r="K82" s="11">
        <v>2022</v>
      </c>
      <c r="L82" s="10">
        <f t="shared" si="15"/>
        <v>31</v>
      </c>
      <c r="M82" s="11">
        <v>60</v>
      </c>
      <c r="N82" s="12">
        <v>0.1</v>
      </c>
      <c r="O82" s="13">
        <f t="shared" si="9"/>
        <v>1.5000000000000001E-2</v>
      </c>
      <c r="P82" s="25">
        <f>IF((H82&lt;=5),VLOOKUP(D82,'building rates'!$B$30:$H$54,2,FALSE),IF(AND(H82&gt;5,H82&lt;=12),VLOOKUP(D82,'building rates'!$B$30:$H$54,3,FALSE),IF(AND(H82&gt;12,H82&lt;=15),VLOOKUP(D82,'building rates'!$B$30:$H$54,4,FALSE),IF(AND(H82&gt;15,H82&lt;=20),VLOOKUP(D82,'building rates'!$B$30:$H$54,5,FALSE),IF(AND(H82&gt;20,H82&lt;=25),VLOOKUP(D82,'building rates'!$B$30:$H$54,6,FALSE),IF(H82&gt;25,VLOOKUP(D82,'building rates'!$B$30:$H$54,7,FALSE),0))))))</f>
        <v>1000</v>
      </c>
      <c r="Q82" s="14">
        <f t="shared" si="10"/>
        <v>89953.599999999991</v>
      </c>
      <c r="R82" s="14">
        <f t="shared" si="11"/>
        <v>41828.423999999999</v>
      </c>
      <c r="S82" s="14">
        <f t="shared" si="12"/>
        <v>48125.175999999992</v>
      </c>
      <c r="T82" s="15">
        <v>0.15</v>
      </c>
      <c r="U82" s="14">
        <f t="shared" si="16"/>
        <v>40906.39959999999</v>
      </c>
      <c r="V82" s="3">
        <f t="shared" si="17"/>
        <v>454.74999999999989</v>
      </c>
    </row>
    <row r="83" spans="1:22" ht="45" hidden="1" x14ac:dyDescent="0.25">
      <c r="A83" s="7">
        <v>78</v>
      </c>
      <c r="B83" s="98" t="str">
        <f>'BD SHEET FROM COMPANY'!B82</f>
        <v>TRAINING CENTRE (HRD)</v>
      </c>
      <c r="C83" s="7">
        <v>1</v>
      </c>
      <c r="D83" s="8" t="s">
        <v>158</v>
      </c>
      <c r="E83" s="9">
        <f>'BD SHEET FROM COMPANY'!K82</f>
        <v>3442.3391999999999</v>
      </c>
      <c r="F83" s="9"/>
      <c r="G83" s="95">
        <f t="shared" si="13"/>
        <v>319.80408587965331</v>
      </c>
      <c r="H83" s="10">
        <f>'BD SHEET FROM COMPANY'!E82</f>
        <v>11.648</v>
      </c>
      <c r="I83" s="30">
        <f t="shared" si="14"/>
        <v>3.5501371533069186</v>
      </c>
      <c r="J83" s="31">
        <f>'BD SHEET FROM COMPANY'!F82</f>
        <v>1991</v>
      </c>
      <c r="K83" s="11">
        <v>2022</v>
      </c>
      <c r="L83" s="10">
        <f t="shared" si="15"/>
        <v>31</v>
      </c>
      <c r="M83" s="11">
        <v>60</v>
      </c>
      <c r="N83" s="12">
        <v>0.1</v>
      </c>
      <c r="O83" s="13">
        <f t="shared" si="9"/>
        <v>1.5000000000000001E-2</v>
      </c>
      <c r="P83" s="25">
        <f>IF((H83&lt;=5),VLOOKUP(D83,'building rates'!$B$30:$H$54,2,FALSE),IF(AND(H83&gt;5,H83&lt;=12),VLOOKUP(D83,'building rates'!$B$30:$H$54,3,FALSE),IF(AND(H83&gt;12,H83&lt;=15),VLOOKUP(D83,'building rates'!$B$30:$H$54,4,FALSE),IF(AND(H83&gt;15,H83&lt;=20),VLOOKUP(D83,'building rates'!$B$30:$H$54,5,FALSE),IF(AND(H83&gt;20,H83&lt;=25),VLOOKUP(D83,'building rates'!$B$30:$H$54,6,FALSE),IF(H83&gt;25,VLOOKUP(D83,'building rates'!$B$30:$H$54,7,FALSE),0))))))</f>
        <v>1000</v>
      </c>
      <c r="Q83" s="14">
        <f t="shared" si="10"/>
        <v>3442339.1999999997</v>
      </c>
      <c r="R83" s="14">
        <f t="shared" si="11"/>
        <v>1600687.7280000001</v>
      </c>
      <c r="S83" s="14">
        <f t="shared" si="12"/>
        <v>1841651.4719999996</v>
      </c>
      <c r="T83" s="15">
        <v>0.15</v>
      </c>
      <c r="U83" s="14">
        <f t="shared" si="16"/>
        <v>1565403.7511999996</v>
      </c>
      <c r="V83" s="3">
        <f t="shared" si="17"/>
        <v>454.74999999999989</v>
      </c>
    </row>
    <row r="84" spans="1:22" ht="45" hidden="1" x14ac:dyDescent="0.25">
      <c r="A84" s="7">
        <v>79</v>
      </c>
      <c r="B84" s="98" t="str">
        <f>'BD SHEET FROM COMPANY'!B83</f>
        <v xml:space="preserve">CANTEEN </v>
      </c>
      <c r="C84" s="7">
        <v>1</v>
      </c>
      <c r="D84" s="8" t="s">
        <v>158</v>
      </c>
      <c r="E84" s="9">
        <f>'BD SHEET FROM COMPANY'!K83</f>
        <v>7047.3696</v>
      </c>
      <c r="F84" s="9"/>
      <c r="G84" s="95">
        <f t="shared" si="13"/>
        <v>654.72269344754227</v>
      </c>
      <c r="H84" s="10">
        <f>'BD SHEET FROM COMPANY'!E83</f>
        <v>14.6432</v>
      </c>
      <c r="I84" s="30">
        <f t="shared" si="14"/>
        <v>4.463029564157269</v>
      </c>
      <c r="J84" s="31">
        <f>'BD SHEET FROM COMPANY'!F83</f>
        <v>1991</v>
      </c>
      <c r="K84" s="11">
        <v>2022</v>
      </c>
      <c r="L84" s="10">
        <f t="shared" si="15"/>
        <v>31</v>
      </c>
      <c r="M84" s="11">
        <v>60</v>
      </c>
      <c r="N84" s="12">
        <v>0.1</v>
      </c>
      <c r="O84" s="13">
        <f t="shared" si="9"/>
        <v>1.5000000000000001E-2</v>
      </c>
      <c r="P84" s="25">
        <f>IF((H84&lt;=5),VLOOKUP(D84,'building rates'!$B$30:$H$54,2,FALSE),IF(AND(H84&gt;5,H84&lt;=12),VLOOKUP(D84,'building rates'!$B$30:$H$54,3,FALSE),IF(AND(H84&gt;12,H84&lt;=15),VLOOKUP(D84,'building rates'!$B$30:$H$54,4,FALSE),IF(AND(H84&gt;15,H84&lt;=20),VLOOKUP(D84,'building rates'!$B$30:$H$54,5,FALSE),IF(AND(H84&gt;20,H84&lt;=25),VLOOKUP(D84,'building rates'!$B$30:$H$54,6,FALSE),IF(H84&gt;25,VLOOKUP(D84,'building rates'!$B$30:$H$54,7,FALSE),0))))))</f>
        <v>1200</v>
      </c>
      <c r="Q84" s="14">
        <f t="shared" si="10"/>
        <v>8456843.5199999996</v>
      </c>
      <c r="R84" s="14">
        <f t="shared" si="11"/>
        <v>3932432.2368000001</v>
      </c>
      <c r="S84" s="14">
        <f t="shared" si="12"/>
        <v>4524411.2831999995</v>
      </c>
      <c r="T84" s="15">
        <v>0.15</v>
      </c>
      <c r="U84" s="14">
        <f t="shared" si="16"/>
        <v>3845749.5907199993</v>
      </c>
      <c r="V84" s="3">
        <f t="shared" si="17"/>
        <v>545.69999999999993</v>
      </c>
    </row>
    <row r="85" spans="1:22" ht="45" hidden="1" x14ac:dyDescent="0.25">
      <c r="A85" s="7">
        <v>80</v>
      </c>
      <c r="B85" s="98" t="str">
        <f>'BD SHEET FROM COMPANY'!B84</f>
        <v>WATER RESERVOIR TANK, CAPACITY: 2500 CUM.</v>
      </c>
      <c r="C85" s="7">
        <v>1</v>
      </c>
      <c r="D85" s="8" t="s">
        <v>158</v>
      </c>
      <c r="E85" s="9">
        <f>'BD SHEET FROM COMPANY'!K84</f>
        <v>8113.04</v>
      </c>
      <c r="F85" s="16">
        <f>2500*1000</f>
        <v>2500000</v>
      </c>
      <c r="G85" s="95">
        <f t="shared" si="13"/>
        <v>753.72680905619711</v>
      </c>
      <c r="H85" s="10">
        <f>'BD SHEET FROM COMPANY'!E84</f>
        <v>4.5</v>
      </c>
      <c r="I85" s="30">
        <f t="shared" si="14"/>
        <v>1.3715330691862238</v>
      </c>
      <c r="J85" s="31">
        <f>'BD SHEET FROM COMPANY'!F84</f>
        <v>1991</v>
      </c>
      <c r="K85" s="11">
        <v>2022</v>
      </c>
      <c r="L85" s="10">
        <f t="shared" si="15"/>
        <v>31</v>
      </c>
      <c r="M85" s="11">
        <v>40</v>
      </c>
      <c r="N85" s="12">
        <v>0.1</v>
      </c>
      <c r="O85" s="13">
        <f t="shared" si="9"/>
        <v>2.2499999999999999E-2</v>
      </c>
      <c r="P85" s="35">
        <v>10</v>
      </c>
      <c r="Q85" s="14">
        <f>P85*F85</f>
        <v>25000000</v>
      </c>
      <c r="R85" s="14">
        <f t="shared" si="11"/>
        <v>17437500</v>
      </c>
      <c r="S85" s="14">
        <f t="shared" si="12"/>
        <v>7562500</v>
      </c>
      <c r="T85" s="15">
        <v>0.25</v>
      </c>
      <c r="U85" s="14">
        <f t="shared" si="16"/>
        <v>5671875</v>
      </c>
      <c r="V85" s="3">
        <f t="shared" si="17"/>
        <v>699.10600711940288</v>
      </c>
    </row>
    <row r="86" spans="1:22" ht="60" x14ac:dyDescent="0.25">
      <c r="A86" s="7">
        <v>81</v>
      </c>
      <c r="B86" s="98" t="str">
        <f>'BD SHEET FROM COMPANY'!B85</f>
        <v>WATER RESERVOIR TANK, CAPACITY: 2475 CUM.</v>
      </c>
      <c r="C86" s="7">
        <v>0</v>
      </c>
      <c r="D86" s="8" t="s">
        <v>171</v>
      </c>
      <c r="E86" s="9">
        <f>'BD SHEET FROM COMPANY'!K85</f>
        <v>8113.04</v>
      </c>
      <c r="F86" s="16">
        <f>2475*1000</f>
        <v>2475000</v>
      </c>
      <c r="G86" s="95">
        <f t="shared" si="13"/>
        <v>753.72680905619711</v>
      </c>
      <c r="H86" s="10">
        <f>'BD SHEET FROM COMPANY'!E85</f>
        <v>4.5</v>
      </c>
      <c r="I86" s="30">
        <f t="shared" si="14"/>
        <v>1.3715330691862238</v>
      </c>
      <c r="J86" s="31">
        <f>'BD SHEET FROM COMPANY'!F85</f>
        <v>1991</v>
      </c>
      <c r="K86" s="11">
        <v>2022</v>
      </c>
      <c r="L86" s="10">
        <f t="shared" si="15"/>
        <v>31</v>
      </c>
      <c r="M86" s="11">
        <v>40</v>
      </c>
      <c r="N86" s="12">
        <v>0.1</v>
      </c>
      <c r="O86" s="13">
        <f t="shared" si="9"/>
        <v>2.2499999999999999E-2</v>
      </c>
      <c r="P86" s="35">
        <v>10</v>
      </c>
      <c r="Q86" s="14">
        <f>P86*F86</f>
        <v>24750000</v>
      </c>
      <c r="R86" s="14">
        <f t="shared" si="11"/>
        <v>17263125</v>
      </c>
      <c r="S86" s="14">
        <f t="shared" si="12"/>
        <v>7486875</v>
      </c>
      <c r="T86" s="15">
        <v>0.25</v>
      </c>
      <c r="U86" s="14">
        <f t="shared" si="16"/>
        <v>5615156.25</v>
      </c>
      <c r="V86" s="3">
        <f t="shared" si="17"/>
        <v>692.11494704820882</v>
      </c>
    </row>
    <row r="87" spans="1:22" ht="30" x14ac:dyDescent="0.25">
      <c r="A87" s="7">
        <v>82</v>
      </c>
      <c r="B87" s="98" t="str">
        <f>'BD SHEET FROM COMPANY'!B86</f>
        <v>WATER CLARIFLACULATOR, CAPACITY (630.0 CUM.)</v>
      </c>
      <c r="C87" s="7">
        <v>0</v>
      </c>
      <c r="D87" s="8" t="s">
        <v>169</v>
      </c>
      <c r="E87" s="9">
        <f>'BD SHEET FROM COMPANY'!K86</f>
        <v>3120.4</v>
      </c>
      <c r="F87" s="9"/>
      <c r="G87" s="95">
        <f t="shared" si="13"/>
        <v>289.89492656007582</v>
      </c>
      <c r="H87" s="10">
        <f>'BD SHEET FROM COMPANY'!E86</f>
        <v>13.311999999999999</v>
      </c>
      <c r="I87" s="30">
        <f t="shared" si="14"/>
        <v>4.0572996037793354</v>
      </c>
      <c r="J87" s="31">
        <f>'BD SHEET FROM COMPANY'!F86</f>
        <v>1991</v>
      </c>
      <c r="K87" s="11">
        <v>2022</v>
      </c>
      <c r="L87" s="10">
        <f t="shared" si="15"/>
        <v>31</v>
      </c>
      <c r="M87" s="11">
        <v>40</v>
      </c>
      <c r="N87" s="12">
        <v>0.1</v>
      </c>
      <c r="O87" s="13">
        <f t="shared" si="9"/>
        <v>2.2499999999999999E-2</v>
      </c>
      <c r="P87" s="25">
        <v>100</v>
      </c>
      <c r="Q87" s="14">
        <f t="shared" si="10"/>
        <v>312040</v>
      </c>
      <c r="R87" s="14">
        <f t="shared" si="11"/>
        <v>217647.9</v>
      </c>
      <c r="S87" s="14">
        <f t="shared" si="12"/>
        <v>94392.1</v>
      </c>
      <c r="T87" s="15">
        <v>0.2</v>
      </c>
      <c r="U87" s="14">
        <f t="shared" si="16"/>
        <v>75513.680000000008</v>
      </c>
      <c r="V87" s="3">
        <f t="shared" si="17"/>
        <v>24.200000000000003</v>
      </c>
    </row>
    <row r="88" spans="1:22" ht="16.5" x14ac:dyDescent="0.25">
      <c r="A88" s="7">
        <v>83</v>
      </c>
      <c r="B88" s="98" t="str">
        <f>'BD SHEET FROM COMPANY'!B87</f>
        <v>L.S/H.S. TANK</v>
      </c>
      <c r="C88" s="7">
        <v>0</v>
      </c>
      <c r="D88" s="8" t="s">
        <v>169</v>
      </c>
      <c r="E88" s="9">
        <f>'BD SHEET FROM COMPANY'!K87</f>
        <v>2586.7040000000002</v>
      </c>
      <c r="F88" s="16"/>
      <c r="G88" s="95">
        <f t="shared" si="13"/>
        <v>240.31289774152495</v>
      </c>
      <c r="H88" s="10">
        <f>'BD SHEET FROM COMPANY'!E87</f>
        <v>15</v>
      </c>
      <c r="I88" s="30">
        <f t="shared" si="14"/>
        <v>4.5717768972874122</v>
      </c>
      <c r="J88" s="31">
        <f>'BD SHEET FROM COMPANY'!F87</f>
        <v>1991</v>
      </c>
      <c r="K88" s="11">
        <v>2022</v>
      </c>
      <c r="L88" s="10">
        <f t="shared" si="15"/>
        <v>31</v>
      </c>
      <c r="M88" s="11">
        <v>40</v>
      </c>
      <c r="N88" s="12">
        <v>0.1</v>
      </c>
      <c r="O88" s="13">
        <f t="shared" si="9"/>
        <v>2.2499999999999999E-2</v>
      </c>
      <c r="P88" s="25">
        <f>IF((H88&lt;=5),VLOOKUP(D88,'building rates'!$B$30:$H$54,2,FALSE),IF(AND(H88&gt;5,H88&lt;=12),VLOOKUP(D88,'building rates'!$B$30:$H$54,3,FALSE),IF(AND(H88&gt;12,H88&lt;=15),VLOOKUP(D88,'building rates'!$B$30:$H$54,4,FALSE),IF(AND(H88&gt;15,H88&lt;=20),VLOOKUP(D88,'building rates'!$B$30:$H$54,5,FALSE),IF(AND(H88&gt;20,H88&lt;=25),VLOOKUP(D88,'building rates'!$B$30:$H$54,6,FALSE),IF(H88&gt;25,VLOOKUP(D88,'building rates'!$B$30:$H$54,7,FALSE),0))))))</f>
        <v>200</v>
      </c>
      <c r="Q88" s="14">
        <f t="shared" si="10"/>
        <v>517340.80000000005</v>
      </c>
      <c r="R88" s="14">
        <f t="shared" si="11"/>
        <v>360845.20800000004</v>
      </c>
      <c r="S88" s="14">
        <f t="shared" si="12"/>
        <v>156495.592</v>
      </c>
      <c r="T88" s="15">
        <v>0.2</v>
      </c>
      <c r="U88" s="14">
        <f t="shared" si="16"/>
        <v>125196.47360000001</v>
      </c>
      <c r="V88" s="3">
        <f t="shared" si="17"/>
        <v>48.4</v>
      </c>
    </row>
    <row r="89" spans="1:22" ht="16.5" x14ac:dyDescent="0.25">
      <c r="A89" s="7">
        <v>84</v>
      </c>
      <c r="B89" s="98" t="str">
        <f>'BD SHEET FROM COMPANY'!B88</f>
        <v>50 KL HSD TANK</v>
      </c>
      <c r="C89" s="7">
        <v>0</v>
      </c>
      <c r="D89" s="8" t="s">
        <v>169</v>
      </c>
      <c r="E89" s="9">
        <f>'BD SHEET FROM COMPANY'!K88</f>
        <v>215.4152</v>
      </c>
      <c r="F89" s="16">
        <f>50*1000</f>
        <v>50000</v>
      </c>
      <c r="G89" s="95">
        <f t="shared" si="13"/>
        <v>20.012746309423164</v>
      </c>
      <c r="H89" s="10">
        <f>'BD SHEET FROM COMPANY'!E88</f>
        <v>0</v>
      </c>
      <c r="I89" s="30">
        <f t="shared" si="14"/>
        <v>0</v>
      </c>
      <c r="J89" s="31">
        <f>'BD SHEET FROM COMPANY'!F88</f>
        <v>1991</v>
      </c>
      <c r="K89" s="11">
        <v>2022</v>
      </c>
      <c r="L89" s="10">
        <f t="shared" si="15"/>
        <v>31</v>
      </c>
      <c r="M89" s="11">
        <v>40</v>
      </c>
      <c r="N89" s="12">
        <v>0.1</v>
      </c>
      <c r="O89" s="13">
        <f t="shared" si="9"/>
        <v>2.2499999999999999E-2</v>
      </c>
      <c r="P89" s="35">
        <v>10</v>
      </c>
      <c r="Q89" s="14">
        <f>P89*F89</f>
        <v>500000</v>
      </c>
      <c r="R89" s="14">
        <f t="shared" si="11"/>
        <v>348750</v>
      </c>
      <c r="S89" s="14">
        <f t="shared" si="12"/>
        <v>151250</v>
      </c>
      <c r="T89" s="15">
        <v>0.2</v>
      </c>
      <c r="U89" s="14">
        <f t="shared" si="16"/>
        <v>121000</v>
      </c>
      <c r="V89" s="3">
        <f t="shared" si="17"/>
        <v>561.70595204052449</v>
      </c>
    </row>
    <row r="90" spans="1:22" ht="45" x14ac:dyDescent="0.25">
      <c r="A90" s="7">
        <v>85</v>
      </c>
      <c r="B90" s="98" t="str">
        <f>'BD SHEET FROM COMPANY'!B89</f>
        <v>SULPHUR ROOM</v>
      </c>
      <c r="C90" s="7">
        <v>1</v>
      </c>
      <c r="D90" s="8" t="s">
        <v>158</v>
      </c>
      <c r="E90" s="9">
        <f>'BD SHEET FROM COMPANY'!K89</f>
        <v>591.79999999999995</v>
      </c>
      <c r="F90" s="9"/>
      <c r="G90" s="95">
        <f t="shared" si="13"/>
        <v>54.980072278635063</v>
      </c>
      <c r="H90" s="10">
        <f>'BD SHEET FROM COMPANY'!E89</f>
        <v>16.64</v>
      </c>
      <c r="I90" s="30">
        <f t="shared" si="14"/>
        <v>5.071624504724169</v>
      </c>
      <c r="J90" s="31">
        <f>'BD SHEET FROM COMPANY'!F89</f>
        <v>1991</v>
      </c>
      <c r="K90" s="11">
        <v>2022</v>
      </c>
      <c r="L90" s="10">
        <f t="shared" si="15"/>
        <v>31</v>
      </c>
      <c r="M90" s="11">
        <v>60</v>
      </c>
      <c r="N90" s="12">
        <v>0.1</v>
      </c>
      <c r="O90" s="13">
        <f t="shared" si="9"/>
        <v>1.5000000000000001E-2</v>
      </c>
      <c r="P90" s="25">
        <f>IF((H90&lt;=5),VLOOKUP(D90,'building rates'!$B$30:$H$54,2,FALSE),IF(AND(H90&gt;5,H90&lt;=12),VLOOKUP(D90,'building rates'!$B$30:$H$54,3,FALSE),IF(AND(H90&gt;12,H90&lt;=15),VLOOKUP(D90,'building rates'!$B$30:$H$54,4,FALSE),IF(AND(H90&gt;15,H90&lt;=20),VLOOKUP(D90,'building rates'!$B$30:$H$54,5,FALSE),IF(AND(H90&gt;20,H90&lt;=25),VLOOKUP(D90,'building rates'!$B$30:$H$54,6,FALSE),IF(H90&gt;25,VLOOKUP(D90,'building rates'!$B$30:$H$54,7,FALSE),0))))))</f>
        <v>1400</v>
      </c>
      <c r="Q90" s="14">
        <f t="shared" si="10"/>
        <v>828519.99999999988</v>
      </c>
      <c r="R90" s="14">
        <f t="shared" si="11"/>
        <v>385261.8</v>
      </c>
      <c r="S90" s="14">
        <f t="shared" si="12"/>
        <v>443258.1999999999</v>
      </c>
      <c r="T90" s="15">
        <v>0.2</v>
      </c>
      <c r="U90" s="14">
        <f t="shared" si="16"/>
        <v>354606.55999999994</v>
      </c>
      <c r="V90" s="3">
        <f t="shared" si="17"/>
        <v>599.19999999999993</v>
      </c>
    </row>
    <row r="91" spans="1:22" ht="30" x14ac:dyDescent="0.25">
      <c r="A91" s="7">
        <v>86</v>
      </c>
      <c r="B91" s="98" t="str">
        <f>'BD SHEET FROM COMPANY'!B90</f>
        <v>132 KVA YARD SUB STATION</v>
      </c>
      <c r="C91" s="7">
        <v>0</v>
      </c>
      <c r="D91" s="8" t="s">
        <v>172</v>
      </c>
      <c r="E91" s="9">
        <f>'BD SHEET FROM COMPANY'!K90</f>
        <v>23859.869599999998</v>
      </c>
      <c r="F91" s="9"/>
      <c r="G91" s="95">
        <f t="shared" si="13"/>
        <v>2216.6565649996746</v>
      </c>
      <c r="H91" s="10">
        <f>'BD SHEET FROM COMPANY'!E90</f>
        <v>0</v>
      </c>
      <c r="I91" s="30">
        <f t="shared" si="14"/>
        <v>0</v>
      </c>
      <c r="J91" s="31">
        <f>'BD SHEET FROM COMPANY'!F90</f>
        <v>1991</v>
      </c>
      <c r="K91" s="11">
        <v>2022</v>
      </c>
      <c r="L91" s="10">
        <f t="shared" si="15"/>
        <v>31</v>
      </c>
      <c r="M91" s="11">
        <v>30</v>
      </c>
      <c r="N91" s="12">
        <v>0.1</v>
      </c>
      <c r="O91" s="13">
        <f t="shared" si="9"/>
        <v>3.0000000000000002E-2</v>
      </c>
      <c r="P91" s="25">
        <f>IF((H91&lt;=5),VLOOKUP(D91,'building rates'!$B$30:$H$54,2,FALSE),IF(AND(H91&gt;5,H91&lt;=12),VLOOKUP(D91,'building rates'!$B$30:$H$54,3,FALSE),IF(AND(H91&gt;12,H91&lt;=15),VLOOKUP(D91,'building rates'!$B$30:$H$54,4,FALSE),IF(AND(H91&gt;15,H91&lt;=20),VLOOKUP(D91,'building rates'!$B$30:$H$54,5,FALSE),IF(AND(H91&gt;20,H91&lt;=25),VLOOKUP(D91,'building rates'!$B$30:$H$54,6,FALSE),IF(H91&gt;25,VLOOKUP(D91,'building rates'!$B$30:$H$54,7,FALSE),0))))))</f>
        <v>100</v>
      </c>
      <c r="Q91" s="14">
        <f t="shared" si="10"/>
        <v>2385986.96</v>
      </c>
      <c r="R91" s="14">
        <f t="shared" si="11"/>
        <v>2218967.8728</v>
      </c>
      <c r="S91" s="14">
        <f t="shared" si="12"/>
        <v>167019.08719999995</v>
      </c>
      <c r="T91" s="15">
        <v>0.2</v>
      </c>
      <c r="U91" s="14">
        <f t="shared" si="16"/>
        <v>238598.696</v>
      </c>
      <c r="V91" s="3">
        <f t="shared" si="17"/>
        <v>10</v>
      </c>
    </row>
    <row r="92" spans="1:22" ht="30" x14ac:dyDescent="0.25">
      <c r="A92" s="7">
        <v>87</v>
      </c>
      <c r="B92" s="98" t="str">
        <f>'BD SHEET FROM COMPANY'!B91</f>
        <v>ASH SILO (20 TPH BOILER)</v>
      </c>
      <c r="C92" s="7">
        <v>0</v>
      </c>
      <c r="D92" s="8" t="s">
        <v>172</v>
      </c>
      <c r="E92" s="9">
        <f>'BD SHEET FROM COMPANY'!K91</f>
        <v>1130.4456</v>
      </c>
      <c r="F92" s="9"/>
      <c r="G92" s="95">
        <f t="shared" si="13"/>
        <v>105.02193442897092</v>
      </c>
      <c r="H92" s="10">
        <f>'BD SHEET FROM COMPANY'!E91</f>
        <v>61.567999999999998</v>
      </c>
      <c r="I92" s="30">
        <f t="shared" si="14"/>
        <v>18.765010667479427</v>
      </c>
      <c r="J92" s="31">
        <f>'BD SHEET FROM COMPANY'!F91</f>
        <v>1991</v>
      </c>
      <c r="K92" s="11">
        <v>2022</v>
      </c>
      <c r="L92" s="10">
        <f t="shared" si="15"/>
        <v>31</v>
      </c>
      <c r="M92" s="11">
        <v>30</v>
      </c>
      <c r="N92" s="12">
        <v>0.1</v>
      </c>
      <c r="O92" s="13">
        <f t="shared" si="9"/>
        <v>3.0000000000000002E-2</v>
      </c>
      <c r="P92" s="25">
        <f>IF((H92&lt;=5),VLOOKUP(D92,'building rates'!$B$30:$H$54,2,FALSE),IF(AND(H92&gt;5,H92&lt;=12),VLOOKUP(D92,'building rates'!$B$30:$H$54,3,FALSE),IF(AND(H92&gt;12,H92&lt;=15),VLOOKUP(D92,'building rates'!$B$30:$H$54,4,FALSE),IF(AND(H92&gt;15,H92&lt;=20),VLOOKUP(D92,'building rates'!$B$30:$H$54,5,FALSE),IF(AND(H92&gt;20,H92&lt;=25),VLOOKUP(D92,'building rates'!$B$30:$H$54,6,FALSE),IF(H92&gt;25,VLOOKUP(D92,'building rates'!$B$30:$H$54,7,FALSE),0))))))</f>
        <v>200</v>
      </c>
      <c r="Q92" s="14">
        <f t="shared" si="10"/>
        <v>226089.12</v>
      </c>
      <c r="R92" s="14">
        <f t="shared" si="11"/>
        <v>210262.88159999999</v>
      </c>
      <c r="S92" s="14">
        <f t="shared" si="12"/>
        <v>15826.238400000002</v>
      </c>
      <c r="T92" s="15">
        <v>0.2</v>
      </c>
      <c r="U92" s="14">
        <f t="shared" si="16"/>
        <v>22608.912</v>
      </c>
      <c r="V92" s="3">
        <f t="shared" si="17"/>
        <v>20</v>
      </c>
    </row>
    <row r="93" spans="1:22" ht="30" x14ac:dyDescent="0.25">
      <c r="A93" s="7">
        <v>88</v>
      </c>
      <c r="B93" s="98" t="str">
        <f>'BD SHEET FROM COMPANY'!B92</f>
        <v>ASH SILO (32 TPH BOILER)</v>
      </c>
      <c r="C93" s="7">
        <v>0</v>
      </c>
      <c r="D93" s="8" t="s">
        <v>172</v>
      </c>
      <c r="E93" s="9">
        <f>'BD SHEET FROM COMPANY'!K92</f>
        <v>1130.4456</v>
      </c>
      <c r="F93" s="9"/>
      <c r="G93" s="95">
        <f t="shared" si="13"/>
        <v>105.02193442897092</v>
      </c>
      <c r="H93" s="10">
        <f>'BD SHEET FROM COMPANY'!E92</f>
        <v>61.567999999999998</v>
      </c>
      <c r="I93" s="30">
        <f t="shared" si="14"/>
        <v>18.765010667479427</v>
      </c>
      <c r="J93" s="31">
        <f>'BD SHEET FROM COMPANY'!F92</f>
        <v>2019</v>
      </c>
      <c r="K93" s="11">
        <v>2022</v>
      </c>
      <c r="L93" s="10">
        <f t="shared" si="15"/>
        <v>3</v>
      </c>
      <c r="M93" s="11">
        <v>30</v>
      </c>
      <c r="N93" s="12">
        <v>0.1</v>
      </c>
      <c r="O93" s="13">
        <f t="shared" si="9"/>
        <v>3.0000000000000002E-2</v>
      </c>
      <c r="P93" s="25">
        <f>IF((H93&lt;=5),VLOOKUP(D93,'building rates'!$B$30:$H$54,2,FALSE),IF(AND(H93&gt;5,H93&lt;=12),VLOOKUP(D93,'building rates'!$B$30:$H$54,3,FALSE),IF(AND(H93&gt;12,H93&lt;=15),VLOOKUP(D93,'building rates'!$B$30:$H$54,4,FALSE),IF(AND(H93&gt;15,H93&lt;=20),VLOOKUP(D93,'building rates'!$B$30:$H$54,5,FALSE),IF(AND(H93&gt;20,H93&lt;=25),VLOOKUP(D93,'building rates'!$B$30:$H$54,6,FALSE),IF(H93&gt;25,VLOOKUP(D93,'building rates'!$B$30:$H$54,7,FALSE),0))))))</f>
        <v>200</v>
      </c>
      <c r="Q93" s="14">
        <f t="shared" si="10"/>
        <v>226089.12</v>
      </c>
      <c r="R93" s="14">
        <f t="shared" si="11"/>
        <v>20348.020799999998</v>
      </c>
      <c r="S93" s="14">
        <f t="shared" si="12"/>
        <v>205741.0992</v>
      </c>
      <c r="T93" s="15">
        <v>0.2</v>
      </c>
      <c r="U93" s="14">
        <f t="shared" si="16"/>
        <v>164592.87936000002</v>
      </c>
      <c r="V93" s="3">
        <f t="shared" si="17"/>
        <v>145.60000000000002</v>
      </c>
    </row>
    <row r="94" spans="1:22" ht="30" x14ac:dyDescent="0.25">
      <c r="A94" s="7">
        <v>89</v>
      </c>
      <c r="B94" s="98" t="str">
        <f>'BD SHEET FROM COMPANY'!B93</f>
        <v>TWIN O.H. TANK, CAPACITY: 68.0 CUM.</v>
      </c>
      <c r="C94" s="7">
        <v>2</v>
      </c>
      <c r="D94" s="8" t="s">
        <v>172</v>
      </c>
      <c r="E94" s="9">
        <f>'BD SHEET FROM COMPANY'!K93</f>
        <v>93.073999999999998</v>
      </c>
      <c r="F94" s="16">
        <f>68*1000</f>
        <v>68000</v>
      </c>
      <c r="G94" s="95">
        <f t="shared" si="13"/>
        <v>8.646865912912606</v>
      </c>
      <c r="H94" s="10">
        <f>'BD SHEET FROM COMPANY'!E93</f>
        <v>93.183999999999997</v>
      </c>
      <c r="I94" s="30">
        <f t="shared" si="14"/>
        <v>28.401097226455349</v>
      </c>
      <c r="J94" s="31">
        <f>'BD SHEET FROM COMPANY'!F93</f>
        <v>1991</v>
      </c>
      <c r="K94" s="11">
        <v>2022</v>
      </c>
      <c r="L94" s="10">
        <f t="shared" si="15"/>
        <v>31</v>
      </c>
      <c r="M94" s="11">
        <v>30</v>
      </c>
      <c r="N94" s="12">
        <v>0.1</v>
      </c>
      <c r="O94" s="13">
        <f t="shared" si="9"/>
        <v>3.0000000000000002E-2</v>
      </c>
      <c r="P94" s="35">
        <v>20</v>
      </c>
      <c r="Q94" s="14">
        <f>P94*F94</f>
        <v>1360000</v>
      </c>
      <c r="R94" s="14">
        <f t="shared" si="11"/>
        <v>1264800</v>
      </c>
      <c r="S94" s="14">
        <f t="shared" si="12"/>
        <v>95200</v>
      </c>
      <c r="T94" s="15">
        <v>0.2</v>
      </c>
      <c r="U94" s="14">
        <f t="shared" si="16"/>
        <v>136000</v>
      </c>
      <c r="V94" s="3">
        <f>U94/F94</f>
        <v>2</v>
      </c>
    </row>
    <row r="95" spans="1:22" ht="30" x14ac:dyDescent="0.25">
      <c r="A95" s="7">
        <v>90</v>
      </c>
      <c r="B95" s="98" t="str">
        <f>'BD SHEET FROM COMPANY'!B94</f>
        <v>BACK WASH TANK, CAPACITY: 150.CUM.</v>
      </c>
      <c r="C95" s="7">
        <v>1</v>
      </c>
      <c r="D95" s="8" t="s">
        <v>172</v>
      </c>
      <c r="E95" s="9">
        <f>'BD SHEET FROM COMPANY'!K94</f>
        <v>1076</v>
      </c>
      <c r="F95" s="16">
        <f>150*1000</f>
        <v>150000</v>
      </c>
      <c r="G95" s="95">
        <f t="shared" si="13"/>
        <v>99.963767779336493</v>
      </c>
      <c r="H95" s="10">
        <f>'BD SHEET FROM COMPANY'!E94</f>
        <v>14.975999999999999</v>
      </c>
      <c r="I95" s="30">
        <f t="shared" si="14"/>
        <v>4.5644620542517522</v>
      </c>
      <c r="J95" s="31">
        <f>'BD SHEET FROM COMPANY'!F94</f>
        <v>1991</v>
      </c>
      <c r="K95" s="11">
        <v>2022</v>
      </c>
      <c r="L95" s="10">
        <f t="shared" si="15"/>
        <v>31</v>
      </c>
      <c r="M95" s="11">
        <v>30</v>
      </c>
      <c r="N95" s="12">
        <v>0.1</v>
      </c>
      <c r="O95" s="13">
        <f t="shared" si="9"/>
        <v>3.0000000000000002E-2</v>
      </c>
      <c r="P95" s="35">
        <v>10</v>
      </c>
      <c r="Q95" s="14">
        <f>P95*F95</f>
        <v>1500000</v>
      </c>
      <c r="R95" s="14">
        <f t="shared" si="11"/>
        <v>1395000</v>
      </c>
      <c r="S95" s="14">
        <f t="shared" si="12"/>
        <v>105000</v>
      </c>
      <c r="T95" s="15">
        <v>0.2</v>
      </c>
      <c r="U95" s="14">
        <f t="shared" si="16"/>
        <v>150000</v>
      </c>
      <c r="V95" s="3">
        <f t="shared" si="17"/>
        <v>139.40520446096653</v>
      </c>
    </row>
    <row r="96" spans="1:22" ht="45" x14ac:dyDescent="0.25">
      <c r="A96" s="7">
        <v>91</v>
      </c>
      <c r="B96" s="98" t="str">
        <f>'BD SHEET FROM COMPANY'!B95</f>
        <v>COAL CRUSHER</v>
      </c>
      <c r="C96" s="7">
        <v>1</v>
      </c>
      <c r="D96" s="8" t="s">
        <v>173</v>
      </c>
      <c r="E96" s="9">
        <f>'BD SHEET FROM COMPANY'!K95</f>
        <v>490.11799999999994</v>
      </c>
      <c r="F96" s="9"/>
      <c r="G96" s="95">
        <f t="shared" si="13"/>
        <v>45.533496223487766</v>
      </c>
      <c r="H96" s="10">
        <f>'BD SHEET FROM COMPANY'!E95</f>
        <v>33.28</v>
      </c>
      <c r="I96" s="30">
        <f t="shared" si="14"/>
        <v>10.143249009448338</v>
      </c>
      <c r="J96" s="31">
        <f>'BD SHEET FROM COMPANY'!F95</f>
        <v>1991</v>
      </c>
      <c r="K96" s="11">
        <v>2022</v>
      </c>
      <c r="L96" s="10">
        <f t="shared" si="15"/>
        <v>31</v>
      </c>
      <c r="M96" s="11">
        <v>40</v>
      </c>
      <c r="N96" s="12">
        <v>0.1</v>
      </c>
      <c r="O96" s="13">
        <f t="shared" si="9"/>
        <v>2.2499999999999999E-2</v>
      </c>
      <c r="P96" s="25">
        <f>IF((H96&lt;=5),VLOOKUP(D96,'building rates'!$B$30:$H$54,2,FALSE),IF(AND(H96&gt;5,H96&lt;=12),VLOOKUP(D96,'building rates'!$B$30:$H$54,3,FALSE),IF(AND(H96&gt;12,H96&lt;=15),VLOOKUP(D96,'building rates'!$B$30:$H$54,4,FALSE),IF(AND(H96&gt;15,H96&lt;=20),VLOOKUP(D96,'building rates'!$B$30:$H$54,5,FALSE),IF(AND(H96&gt;20,H96&lt;=25),VLOOKUP(D96,'building rates'!$B$30:$H$54,6,FALSE),IF(H96&gt;25,VLOOKUP(D96,'building rates'!$B$30:$H$54,7,FALSE),0))))))</f>
        <v>1100</v>
      </c>
      <c r="Q96" s="14">
        <f t="shared" si="10"/>
        <v>539129.79999999993</v>
      </c>
      <c r="R96" s="14">
        <f t="shared" si="11"/>
        <v>376043.03549999994</v>
      </c>
      <c r="S96" s="14">
        <f t="shared" si="12"/>
        <v>163086.76449999999</v>
      </c>
      <c r="T96" s="15">
        <v>0.2</v>
      </c>
      <c r="U96" s="14">
        <f t="shared" si="16"/>
        <v>130469.41159999999</v>
      </c>
      <c r="V96" s="3">
        <f t="shared" si="17"/>
        <v>266.20000000000005</v>
      </c>
    </row>
    <row r="97" spans="1:22" ht="45" x14ac:dyDescent="0.25">
      <c r="A97" s="7">
        <v>92</v>
      </c>
      <c r="B97" s="98" t="str">
        <f>'BD SHEET FROM COMPANY'!B96</f>
        <v>SECURITY BARRAK</v>
      </c>
      <c r="C97" s="7">
        <v>1</v>
      </c>
      <c r="D97" s="8" t="s">
        <v>158</v>
      </c>
      <c r="E97" s="9">
        <f>'BD SHEET FROM COMPANY'!K96</f>
        <v>2853.1216000000004</v>
      </c>
      <c r="F97" s="9"/>
      <c r="G97" s="95">
        <f t="shared" si="13"/>
        <v>265.06392664368866</v>
      </c>
      <c r="H97" s="10">
        <f>'BD SHEET FROM COMPANY'!E96</f>
        <v>11.648</v>
      </c>
      <c r="I97" s="30">
        <f t="shared" si="14"/>
        <v>3.5501371533069186</v>
      </c>
      <c r="J97" s="31">
        <f>'BD SHEET FROM COMPANY'!F96</f>
        <v>1991</v>
      </c>
      <c r="K97" s="11">
        <v>2022</v>
      </c>
      <c r="L97" s="10">
        <f t="shared" si="15"/>
        <v>31</v>
      </c>
      <c r="M97" s="11">
        <v>60</v>
      </c>
      <c r="N97" s="12">
        <v>0.1</v>
      </c>
      <c r="O97" s="13">
        <f t="shared" si="9"/>
        <v>1.5000000000000001E-2</v>
      </c>
      <c r="P97" s="25">
        <f>IF((H97&lt;=5),VLOOKUP(D97,'building rates'!$B$30:$H$54,2,FALSE),IF(AND(H97&gt;5,H97&lt;=12),VLOOKUP(D97,'building rates'!$B$30:$H$54,3,FALSE),IF(AND(H97&gt;12,H97&lt;=15),VLOOKUP(D97,'building rates'!$B$30:$H$54,4,FALSE),IF(AND(H97&gt;15,H97&lt;=20),VLOOKUP(D97,'building rates'!$B$30:$H$54,5,FALSE),IF(AND(H97&gt;20,H97&lt;=25),VLOOKUP(D97,'building rates'!$B$30:$H$54,6,FALSE),IF(H97&gt;25,VLOOKUP(D97,'building rates'!$B$30:$H$54,7,FALSE),0))))))</f>
        <v>1000</v>
      </c>
      <c r="Q97" s="14">
        <f t="shared" si="10"/>
        <v>2853121.6000000006</v>
      </c>
      <c r="R97" s="14">
        <f t="shared" si="11"/>
        <v>1326701.5440000005</v>
      </c>
      <c r="S97" s="14">
        <f t="shared" si="12"/>
        <v>1526420.0560000001</v>
      </c>
      <c r="T97" s="15">
        <v>0.2</v>
      </c>
      <c r="U97" s="14">
        <f t="shared" si="16"/>
        <v>1221136.0448</v>
      </c>
      <c r="V97" s="3">
        <f t="shared" si="17"/>
        <v>427.99999999999994</v>
      </c>
    </row>
    <row r="98" spans="1:22" ht="60" x14ac:dyDescent="0.25">
      <c r="A98" s="7">
        <v>93</v>
      </c>
      <c r="B98" s="98" t="str">
        <f>'BD SHEET FROM COMPANY'!B97</f>
        <v>SECURITY BARRAK (R.S.O.)</v>
      </c>
      <c r="C98" s="7">
        <v>1</v>
      </c>
      <c r="D98" s="8" t="s">
        <v>174</v>
      </c>
      <c r="E98" s="9">
        <f>'BD SHEET FROM COMPANY'!K97</f>
        <v>827.98199999999997</v>
      </c>
      <c r="F98" s="9"/>
      <c r="G98" s="95">
        <f t="shared" si="13"/>
        <v>76.92211930619942</v>
      </c>
      <c r="H98" s="10">
        <f>'BD SHEET FROM COMPANY'!E97</f>
        <v>9.984</v>
      </c>
      <c r="I98" s="30">
        <f t="shared" si="14"/>
        <v>3.0429747028345013</v>
      </c>
      <c r="J98" s="31">
        <f>'BD SHEET FROM COMPANY'!F97</f>
        <v>1991</v>
      </c>
      <c r="K98" s="11">
        <v>2022</v>
      </c>
      <c r="L98" s="10">
        <f t="shared" si="15"/>
        <v>31</v>
      </c>
      <c r="M98" s="11">
        <v>40</v>
      </c>
      <c r="N98" s="12">
        <v>0.1</v>
      </c>
      <c r="O98" s="13">
        <f t="shared" si="9"/>
        <v>2.2499999999999999E-2</v>
      </c>
      <c r="P98" s="25">
        <f>IF((H98&lt;=5),VLOOKUP(D98,'building rates'!$B$30:$H$54,2,FALSE),IF(AND(H98&gt;5,H98&lt;=12),VLOOKUP(D98,'building rates'!$B$30:$H$54,3,FALSE),IF(AND(H98&gt;12,H98&lt;=15),VLOOKUP(D98,'building rates'!$B$30:$H$54,4,FALSE),IF(AND(H98&gt;15,H98&lt;=20),VLOOKUP(D98,'building rates'!$B$30:$H$54,5,FALSE),IF(AND(H98&gt;20,H98&lt;=25),VLOOKUP(D98,'building rates'!$B$30:$H$54,6,FALSE),IF(H98&gt;25,VLOOKUP(D98,'building rates'!$B$30:$H$54,7,FALSE),0))))))</f>
        <v>400</v>
      </c>
      <c r="Q98" s="14">
        <f t="shared" si="10"/>
        <v>331192.8</v>
      </c>
      <c r="R98" s="14">
        <f t="shared" si="11"/>
        <v>231006.978</v>
      </c>
      <c r="S98" s="14">
        <f t="shared" si="12"/>
        <v>100185.82199999999</v>
      </c>
      <c r="T98" s="15">
        <v>0.2</v>
      </c>
      <c r="U98" s="14">
        <f t="shared" si="16"/>
        <v>80148.657599999991</v>
      </c>
      <c r="V98" s="3">
        <f t="shared" si="17"/>
        <v>96.8</v>
      </c>
    </row>
    <row r="99" spans="1:22" ht="16.5" x14ac:dyDescent="0.25">
      <c r="A99" s="7">
        <v>94</v>
      </c>
      <c r="B99" s="98" t="str">
        <f>'BD SHEET FROM COMPANY'!B98</f>
        <v>NEPTHA YARD (OPEN )</v>
      </c>
      <c r="C99" s="7">
        <v>1</v>
      </c>
      <c r="D99" s="8" t="s">
        <v>169</v>
      </c>
      <c r="E99" s="9">
        <f>'BD SHEET FROM COMPANY'!K98</f>
        <v>7994.68</v>
      </c>
      <c r="F99" s="9"/>
      <c r="G99" s="95">
        <f t="shared" si="13"/>
        <v>742.73079460047018</v>
      </c>
      <c r="H99" s="10">
        <f>'BD SHEET FROM COMPANY'!E98</f>
        <v>9.984</v>
      </c>
      <c r="I99" s="30">
        <f t="shared" si="14"/>
        <v>3.0429747028345013</v>
      </c>
      <c r="J99" s="31">
        <f>'BD SHEET FROM COMPANY'!F98</f>
        <v>1991</v>
      </c>
      <c r="K99" s="11">
        <v>2022</v>
      </c>
      <c r="L99" s="10">
        <f t="shared" si="15"/>
        <v>31</v>
      </c>
      <c r="M99" s="11">
        <v>30</v>
      </c>
      <c r="N99" s="12">
        <v>0.1</v>
      </c>
      <c r="O99" s="13">
        <f t="shared" si="9"/>
        <v>3.0000000000000002E-2</v>
      </c>
      <c r="P99" s="25">
        <f>IF((H99&lt;=5),VLOOKUP(D99,'building rates'!$B$30:$H$54,2,FALSE),IF(AND(H99&gt;5,H99&lt;=12),VLOOKUP(D99,'building rates'!$B$30:$H$54,3,FALSE),IF(AND(H99&gt;12,H99&lt;=15),VLOOKUP(D99,'building rates'!$B$30:$H$54,4,FALSE),IF(AND(H99&gt;15,H99&lt;=20),VLOOKUP(D99,'building rates'!$B$30:$H$54,5,FALSE),IF(AND(H99&gt;20,H99&lt;=25),VLOOKUP(D99,'building rates'!$B$30:$H$54,6,FALSE),IF(H99&gt;25,VLOOKUP(D99,'building rates'!$B$30:$H$54,7,FALSE),0))))))</f>
        <v>200</v>
      </c>
      <c r="Q99" s="14">
        <f t="shared" si="10"/>
        <v>1598936</v>
      </c>
      <c r="R99" s="14">
        <f t="shared" si="11"/>
        <v>1487010.48</v>
      </c>
      <c r="S99" s="14">
        <f t="shared" si="12"/>
        <v>111925.52000000002</v>
      </c>
      <c r="T99" s="15">
        <v>0.2</v>
      </c>
      <c r="U99" s="14">
        <f t="shared" si="16"/>
        <v>159893.6</v>
      </c>
      <c r="V99" s="3">
        <f t="shared" si="17"/>
        <v>20</v>
      </c>
    </row>
    <row r="100" spans="1:22" ht="16.5" x14ac:dyDescent="0.25">
      <c r="A100" s="7">
        <v>95</v>
      </c>
      <c r="B100" s="98" t="str">
        <f>'BD SHEET FROM COMPANY'!B99</f>
        <v>CHIMNEY NEAR THERMOPACK</v>
      </c>
      <c r="C100" s="7">
        <v>1</v>
      </c>
      <c r="D100" s="8" t="s">
        <v>169</v>
      </c>
      <c r="E100" s="9">
        <f>'BD SHEET FROM COMPANY'!K99</f>
        <v>77.256799999999998</v>
      </c>
      <c r="F100" s="9"/>
      <c r="G100" s="95">
        <f t="shared" si="13"/>
        <v>7.1773985265563596</v>
      </c>
      <c r="H100" s="10">
        <f>'BD SHEET FROM COMPANY'!E99</f>
        <v>199.67999999999998</v>
      </c>
      <c r="I100" s="30">
        <f t="shared" si="14"/>
        <v>60.859494056690025</v>
      </c>
      <c r="J100" s="31">
        <f>'BD SHEET FROM COMPANY'!F99</f>
        <v>1991</v>
      </c>
      <c r="K100" s="11">
        <v>2022</v>
      </c>
      <c r="L100" s="10">
        <f t="shared" si="15"/>
        <v>31</v>
      </c>
      <c r="M100" s="11">
        <v>30</v>
      </c>
      <c r="N100" s="12">
        <v>0.1</v>
      </c>
      <c r="O100" s="13">
        <f t="shared" si="9"/>
        <v>3.0000000000000002E-2</v>
      </c>
      <c r="P100" s="25">
        <f>IF((H100&lt;=5),VLOOKUP(D100,'building rates'!$B$30:$H$54,2,FALSE),IF(AND(H100&gt;5,H100&lt;=12),VLOOKUP(D100,'building rates'!$B$30:$H$54,3,FALSE),IF(AND(H100&gt;12,H100&lt;=15),VLOOKUP(D100,'building rates'!$B$30:$H$54,4,FALSE),IF(AND(H100&gt;15,H100&lt;=20),VLOOKUP(D100,'building rates'!$B$30:$H$54,5,FALSE),IF(AND(H100&gt;20,H100&lt;=25),VLOOKUP(D100,'building rates'!$B$30:$H$54,6,FALSE),IF(H100&gt;25,VLOOKUP(D100,'building rates'!$B$30:$H$54,7,FALSE),0))))))</f>
        <v>200</v>
      </c>
      <c r="Q100" s="14">
        <f t="shared" si="10"/>
        <v>15451.36</v>
      </c>
      <c r="R100" s="14">
        <f t="shared" si="11"/>
        <v>14369.764800000001</v>
      </c>
      <c r="S100" s="14">
        <f t="shared" si="12"/>
        <v>1081.5951999999997</v>
      </c>
      <c r="T100" s="15">
        <v>0.2</v>
      </c>
      <c r="U100" s="14">
        <f t="shared" si="16"/>
        <v>1545.1360000000002</v>
      </c>
      <c r="V100" s="3">
        <f t="shared" si="17"/>
        <v>20.000000000000004</v>
      </c>
    </row>
    <row r="101" spans="1:22" ht="16.5" x14ac:dyDescent="0.25">
      <c r="A101" s="7">
        <v>96</v>
      </c>
      <c r="B101" s="98" t="str">
        <f>'BD SHEET FROM COMPANY'!B100</f>
        <v>CHIMNEY NEAR  20 T BOILER</v>
      </c>
      <c r="C101" s="7">
        <v>1</v>
      </c>
      <c r="D101" s="8" t="s">
        <v>169</v>
      </c>
      <c r="E101" s="9">
        <f>'BD SHEET FROM COMPANY'!K100</f>
        <v>169.47</v>
      </c>
      <c r="F101" s="9"/>
      <c r="G101" s="95">
        <f t="shared" si="13"/>
        <v>15.744293425245496</v>
      </c>
      <c r="H101" s="10">
        <f>'BD SHEET FROM COMPANY'!E100</f>
        <v>199.67999999999998</v>
      </c>
      <c r="I101" s="30">
        <f t="shared" si="14"/>
        <v>60.859494056690025</v>
      </c>
      <c r="J101" s="31">
        <f>'BD SHEET FROM COMPANY'!F100</f>
        <v>1991</v>
      </c>
      <c r="K101" s="11">
        <v>2022</v>
      </c>
      <c r="L101" s="10">
        <f t="shared" si="15"/>
        <v>31</v>
      </c>
      <c r="M101" s="11">
        <v>30</v>
      </c>
      <c r="N101" s="12">
        <v>0.1</v>
      </c>
      <c r="O101" s="13">
        <f t="shared" si="9"/>
        <v>3.0000000000000002E-2</v>
      </c>
      <c r="P101" s="25">
        <f>IF((H101&lt;=5),VLOOKUP(D101,'building rates'!$B$30:$H$54,2,FALSE),IF(AND(H101&gt;5,H101&lt;=12),VLOOKUP(D101,'building rates'!$B$30:$H$54,3,FALSE),IF(AND(H101&gt;12,H101&lt;=15),VLOOKUP(D101,'building rates'!$B$30:$H$54,4,FALSE),IF(AND(H101&gt;15,H101&lt;=20),VLOOKUP(D101,'building rates'!$B$30:$H$54,5,FALSE),IF(AND(H101&gt;20,H101&lt;=25),VLOOKUP(D101,'building rates'!$B$30:$H$54,6,FALSE),IF(H101&gt;25,VLOOKUP(D101,'building rates'!$B$30:$H$54,7,FALSE),0))))))</f>
        <v>200</v>
      </c>
      <c r="Q101" s="14">
        <f t="shared" si="10"/>
        <v>33894</v>
      </c>
      <c r="R101" s="14">
        <f t="shared" si="11"/>
        <v>31521.420000000002</v>
      </c>
      <c r="S101" s="14">
        <f t="shared" si="12"/>
        <v>2372.5799999999981</v>
      </c>
      <c r="T101" s="15">
        <v>0.2</v>
      </c>
      <c r="U101" s="14">
        <f t="shared" si="16"/>
        <v>3389.4</v>
      </c>
      <c r="V101" s="3">
        <f t="shared" si="17"/>
        <v>20</v>
      </c>
    </row>
    <row r="102" spans="1:22" ht="45" x14ac:dyDescent="0.25">
      <c r="A102" s="7">
        <v>97</v>
      </c>
      <c r="B102" s="98" t="str">
        <f>'BD SHEET FROM COMPANY'!B101</f>
        <v>MEZANINE FLOORS IN PLANT</v>
      </c>
      <c r="C102" s="7">
        <v>1</v>
      </c>
      <c r="D102" s="8" t="s">
        <v>158</v>
      </c>
      <c r="E102" s="9">
        <f>'BD SHEET FROM COMPANY'!K101</f>
        <v>16570.400000000001</v>
      </c>
      <c r="F102" s="9"/>
      <c r="G102" s="95">
        <f t="shared" si="13"/>
        <v>1539.4420238017822</v>
      </c>
      <c r="H102" s="10">
        <f>'BD SHEET FROM COMPANY'!E101</f>
        <v>13.311999999999999</v>
      </c>
      <c r="I102" s="30">
        <f t="shared" si="14"/>
        <v>4.0572996037793354</v>
      </c>
      <c r="J102" s="31">
        <f>'BD SHEET FROM COMPANY'!F101</f>
        <v>1991</v>
      </c>
      <c r="K102" s="11">
        <v>2022</v>
      </c>
      <c r="L102" s="10">
        <f t="shared" si="15"/>
        <v>31</v>
      </c>
      <c r="M102" s="11">
        <v>60</v>
      </c>
      <c r="N102" s="12">
        <v>0.1</v>
      </c>
      <c r="O102" s="13">
        <f t="shared" si="9"/>
        <v>1.5000000000000001E-2</v>
      </c>
      <c r="P102" s="25">
        <f>IF((H102&lt;=5),VLOOKUP(D102,'building rates'!$B$30:$H$54,2,FALSE),IF(AND(H102&gt;5,H102&lt;=12),VLOOKUP(D102,'building rates'!$B$30:$H$54,3,FALSE),IF(AND(H102&gt;12,H102&lt;=15),VLOOKUP(D102,'building rates'!$B$30:$H$54,4,FALSE),IF(AND(H102&gt;15,H102&lt;=20),VLOOKUP(D102,'building rates'!$B$30:$H$54,5,FALSE),IF(AND(H102&gt;20,H102&lt;=25),VLOOKUP(D102,'building rates'!$B$30:$H$54,6,FALSE),IF(H102&gt;25,VLOOKUP(D102,'building rates'!$B$30:$H$54,7,FALSE),0))))))</f>
        <v>1200</v>
      </c>
      <c r="Q102" s="14">
        <f t="shared" si="10"/>
        <v>19884480</v>
      </c>
      <c r="R102" s="14">
        <f t="shared" si="11"/>
        <v>9246283.2000000011</v>
      </c>
      <c r="S102" s="14">
        <f t="shared" si="12"/>
        <v>10638196.799999999</v>
      </c>
      <c r="T102" s="15">
        <v>0.2</v>
      </c>
      <c r="U102" s="14">
        <f t="shared" si="16"/>
        <v>8510557.4399999995</v>
      </c>
      <c r="V102" s="3">
        <f t="shared" si="17"/>
        <v>513.59999999999991</v>
      </c>
    </row>
    <row r="103" spans="1:22" ht="45" x14ac:dyDescent="0.25">
      <c r="A103" s="7">
        <v>98</v>
      </c>
      <c r="B103" s="98" t="str">
        <f>'BD SHEET FROM COMPANY'!B102</f>
        <v>NEW DG HOUSE - (PART-1)</v>
      </c>
      <c r="C103" s="7">
        <v>1</v>
      </c>
      <c r="D103" s="8" t="s">
        <v>158</v>
      </c>
      <c r="E103" s="9">
        <f>'BD SHEET FROM COMPANY'!K102</f>
        <v>3690.68</v>
      </c>
      <c r="F103" s="9"/>
      <c r="G103" s="95">
        <f t="shared" si="13"/>
        <v>342.87572348312415</v>
      </c>
      <c r="H103" s="10">
        <f>'BD SHEET FROM COMPANY'!E102</f>
        <v>23.295999999999999</v>
      </c>
      <c r="I103" s="30">
        <f t="shared" si="14"/>
        <v>7.1002743066138372</v>
      </c>
      <c r="J103" s="31">
        <f>'BD SHEET FROM COMPANY'!F102</f>
        <v>1991</v>
      </c>
      <c r="K103" s="11">
        <v>2022</v>
      </c>
      <c r="L103" s="10">
        <f t="shared" si="15"/>
        <v>31</v>
      </c>
      <c r="M103" s="11">
        <v>60</v>
      </c>
      <c r="N103" s="12">
        <v>0.1</v>
      </c>
      <c r="O103" s="13">
        <f t="shared" si="9"/>
        <v>1.5000000000000001E-2</v>
      </c>
      <c r="P103" s="25">
        <f>IF((H103&lt;=5),VLOOKUP(D103,'building rates'!$B$30:$H$54,2,FALSE),IF(AND(H103&gt;5,H103&lt;=12),VLOOKUP(D103,'building rates'!$B$30:$H$54,3,FALSE),IF(AND(H103&gt;12,H103&lt;=15),VLOOKUP(D103,'building rates'!$B$30:$H$54,4,FALSE),IF(AND(H103&gt;15,H103&lt;=20),VLOOKUP(D103,'building rates'!$B$30:$H$54,5,FALSE),IF(AND(H103&gt;20,H103&lt;=25),VLOOKUP(D103,'building rates'!$B$30:$H$54,6,FALSE),IF(H103&gt;25,VLOOKUP(D103,'building rates'!$B$30:$H$54,7,FALSE),0))))))</f>
        <v>1500</v>
      </c>
      <c r="Q103" s="14">
        <f t="shared" si="10"/>
        <v>5536020</v>
      </c>
      <c r="R103" s="14">
        <f t="shared" si="11"/>
        <v>2574249.3000000003</v>
      </c>
      <c r="S103" s="14">
        <f t="shared" si="12"/>
        <v>2961770.6999999997</v>
      </c>
      <c r="T103" s="15">
        <v>0.2</v>
      </c>
      <c r="U103" s="14">
        <f t="shared" si="16"/>
        <v>2369416.56</v>
      </c>
      <c r="V103" s="3">
        <f t="shared" si="17"/>
        <v>642</v>
      </c>
    </row>
    <row r="104" spans="1:22" ht="60" x14ac:dyDescent="0.25">
      <c r="A104" s="7">
        <v>99</v>
      </c>
      <c r="B104" s="98" t="str">
        <f>'BD SHEET FROM COMPANY'!B103</f>
        <v>NEW DG HOUSE - (PART-2)</v>
      </c>
      <c r="C104" s="7">
        <v>1</v>
      </c>
      <c r="D104" s="8" t="s">
        <v>170</v>
      </c>
      <c r="E104" s="9">
        <f>'BD SHEET FROM COMPANY'!K103</f>
        <v>7381.36</v>
      </c>
      <c r="F104" s="9"/>
      <c r="G104" s="95">
        <f t="shared" si="13"/>
        <v>685.7514469662483</v>
      </c>
      <c r="H104" s="10">
        <f>'BD SHEET FROM COMPANY'!E103</f>
        <v>46.591999999999999</v>
      </c>
      <c r="I104" s="30">
        <f t="shared" si="14"/>
        <v>14.200548613227674</v>
      </c>
      <c r="J104" s="31">
        <f>'BD SHEET FROM COMPANY'!F103</f>
        <v>1991</v>
      </c>
      <c r="K104" s="11">
        <v>2022</v>
      </c>
      <c r="L104" s="10">
        <f t="shared" si="15"/>
        <v>31</v>
      </c>
      <c r="M104" s="11">
        <v>40</v>
      </c>
      <c r="N104" s="12">
        <v>0.1</v>
      </c>
      <c r="O104" s="13">
        <f t="shared" si="9"/>
        <v>2.2499999999999999E-2</v>
      </c>
      <c r="P104" s="25">
        <f>IF((H104&lt;=5),VLOOKUP(D104,'building rates'!$B$30:$H$54,2,FALSE),IF(AND(H104&gt;5,H104&lt;=12),VLOOKUP(D104,'building rates'!$B$30:$H$54,3,FALSE),IF(AND(H104&gt;12,H104&lt;=15),VLOOKUP(D104,'building rates'!$B$30:$H$54,4,FALSE),IF(AND(H104&gt;15,H104&lt;=20),VLOOKUP(D104,'building rates'!$B$30:$H$54,5,FALSE),IF(AND(H104&gt;20,H104&lt;=25),VLOOKUP(D104,'building rates'!$B$30:$H$54,6,FALSE),IF(H104&gt;25,VLOOKUP(D104,'building rates'!$B$30:$H$54,7,FALSE),0))))))</f>
        <v>1100</v>
      </c>
      <c r="Q104" s="14">
        <f t="shared" si="10"/>
        <v>8119496</v>
      </c>
      <c r="R104" s="14">
        <f t="shared" si="11"/>
        <v>5663348.46</v>
      </c>
      <c r="S104" s="14">
        <f t="shared" si="12"/>
        <v>2456147.54</v>
      </c>
      <c r="T104" s="15">
        <v>0.2</v>
      </c>
      <c r="U104" s="14">
        <f t="shared" si="16"/>
        <v>1964918.0320000001</v>
      </c>
      <c r="V104" s="3">
        <f t="shared" si="17"/>
        <v>266.20000000000005</v>
      </c>
    </row>
    <row r="105" spans="1:22" ht="16.5" x14ac:dyDescent="0.25">
      <c r="A105" s="7">
        <v>100</v>
      </c>
      <c r="B105" s="98" t="str">
        <f>'BD SHEET FROM COMPANY'!B104</f>
        <v xml:space="preserve">COOLING TOWER NO. # 4. </v>
      </c>
      <c r="C105" s="7">
        <v>0</v>
      </c>
      <c r="D105" s="8" t="s">
        <v>169</v>
      </c>
      <c r="E105" s="9">
        <f>'BD SHEET FROM COMPANY'!K104</f>
        <v>3228</v>
      </c>
      <c r="F105" s="9"/>
      <c r="G105" s="95">
        <f t="shared" si="13"/>
        <v>299.89130333800949</v>
      </c>
      <c r="H105" s="10">
        <f>'BD SHEET FROM COMPANY'!E104</f>
        <v>29.951999999999998</v>
      </c>
      <c r="I105" s="30">
        <f t="shared" si="14"/>
        <v>9.1289241085035044</v>
      </c>
      <c r="J105" s="31">
        <f>'BD SHEET FROM COMPANY'!F104</f>
        <v>1991</v>
      </c>
      <c r="K105" s="11">
        <v>2022</v>
      </c>
      <c r="L105" s="10">
        <f t="shared" si="15"/>
        <v>31</v>
      </c>
      <c r="M105" s="11">
        <v>40</v>
      </c>
      <c r="N105" s="12">
        <v>0.1</v>
      </c>
      <c r="O105" s="13">
        <f t="shared" si="9"/>
        <v>2.2499999999999999E-2</v>
      </c>
      <c r="P105" s="25">
        <f>IF((H105&lt;=5),VLOOKUP(D105,'building rates'!$B$30:$H$54,2,FALSE),IF(AND(H105&gt;5,H105&lt;=12),VLOOKUP(D105,'building rates'!$B$30:$H$54,3,FALSE),IF(AND(H105&gt;12,H105&lt;=15),VLOOKUP(D105,'building rates'!$B$30:$H$54,4,FALSE),IF(AND(H105&gt;15,H105&lt;=20),VLOOKUP(D105,'building rates'!$B$30:$H$54,5,FALSE),IF(AND(H105&gt;20,H105&lt;=25),VLOOKUP(D105,'building rates'!$B$30:$H$54,6,FALSE),IF(H105&gt;25,VLOOKUP(D105,'building rates'!$B$30:$H$54,7,FALSE),0))))))</f>
        <v>200</v>
      </c>
      <c r="Q105" s="14">
        <f t="shared" si="10"/>
        <v>645600</v>
      </c>
      <c r="R105" s="14">
        <f t="shared" si="11"/>
        <v>450306</v>
      </c>
      <c r="S105" s="14">
        <f t="shared" si="12"/>
        <v>195294</v>
      </c>
      <c r="T105" s="15">
        <v>0.2</v>
      </c>
      <c r="U105" s="14">
        <f t="shared" si="16"/>
        <v>156235.20000000001</v>
      </c>
      <c r="V105" s="3">
        <f t="shared" si="17"/>
        <v>48.400000000000006</v>
      </c>
    </row>
    <row r="106" spans="1:22" ht="45" x14ac:dyDescent="0.25">
      <c r="A106" s="7">
        <v>101</v>
      </c>
      <c r="B106" s="98" t="str">
        <f>'BD SHEET FROM COMPANY'!B105</f>
        <v>50 TPH BOILER HOUSE (GROUND FLOOR), NOT IN USE</v>
      </c>
      <c r="C106" s="7">
        <v>1</v>
      </c>
      <c r="D106" s="8" t="s">
        <v>158</v>
      </c>
      <c r="E106" s="9">
        <f>'BD SHEET FROM COMPANY'!K105</f>
        <v>1129.8</v>
      </c>
      <c r="F106" s="9"/>
      <c r="G106" s="95">
        <f t="shared" si="13"/>
        <v>104.96195616830332</v>
      </c>
      <c r="H106" s="10">
        <f>'BD SHEET FROM COMPANY'!E105</f>
        <v>14.975999999999999</v>
      </c>
      <c r="I106" s="30">
        <f t="shared" si="14"/>
        <v>4.5644620542517522</v>
      </c>
      <c r="J106" s="31">
        <f>'BD SHEET FROM COMPANY'!F105</f>
        <v>1991</v>
      </c>
      <c r="K106" s="11">
        <v>2022</v>
      </c>
      <c r="L106" s="10">
        <f t="shared" si="15"/>
        <v>31</v>
      </c>
      <c r="M106" s="11">
        <v>60</v>
      </c>
      <c r="N106" s="12">
        <v>0.1</v>
      </c>
      <c r="O106" s="13">
        <f t="shared" si="9"/>
        <v>1.5000000000000001E-2</v>
      </c>
      <c r="P106" s="25">
        <f>IF((H106&lt;=5),VLOOKUP(D106,'building rates'!$B$30:$H$54,2,FALSE),IF(AND(H106&gt;5,H106&lt;=12),VLOOKUP(D106,'building rates'!$B$30:$H$54,3,FALSE),IF(AND(H106&gt;12,H106&lt;=15),VLOOKUP(D106,'building rates'!$B$30:$H$54,4,FALSE),IF(AND(H106&gt;15,H106&lt;=20),VLOOKUP(D106,'building rates'!$B$30:$H$54,5,FALSE),IF(AND(H106&gt;20,H106&lt;=25),VLOOKUP(D106,'building rates'!$B$30:$H$54,6,FALSE),IF(H106&gt;25,VLOOKUP(D106,'building rates'!$B$30:$H$54,7,FALSE),0))))))</f>
        <v>1200</v>
      </c>
      <c r="Q106" s="14">
        <f t="shared" si="10"/>
        <v>1355760</v>
      </c>
      <c r="R106" s="14">
        <f t="shared" si="11"/>
        <v>630428.4</v>
      </c>
      <c r="S106" s="14">
        <f t="shared" si="12"/>
        <v>725331.6</v>
      </c>
      <c r="T106" s="15">
        <v>0.3</v>
      </c>
      <c r="U106" s="14">
        <f t="shared" si="16"/>
        <v>507732.11999999994</v>
      </c>
      <c r="V106" s="3">
        <f t="shared" si="17"/>
        <v>449.4</v>
      </c>
    </row>
    <row r="107" spans="1:22" ht="45" x14ac:dyDescent="0.25">
      <c r="A107" s="7">
        <v>102</v>
      </c>
      <c r="B107" s="98" t="str">
        <f>'BD SHEET FROM COMPANY'!B106</f>
        <v>50 TPH BOILER HOUSE (MEZZ. FLOOR), NOT IN USE</v>
      </c>
      <c r="C107" s="7">
        <v>1</v>
      </c>
      <c r="D107" s="8" t="s">
        <v>158</v>
      </c>
      <c r="E107" s="9">
        <f>'BD SHEET FROM COMPANY'!K106</f>
        <v>1129.8</v>
      </c>
      <c r="F107" s="9"/>
      <c r="G107" s="95">
        <f t="shared" si="13"/>
        <v>104.96195616830332</v>
      </c>
      <c r="H107" s="10">
        <f>'BD SHEET FROM COMPANY'!E106</f>
        <v>16.64</v>
      </c>
      <c r="I107" s="30">
        <f t="shared" si="14"/>
        <v>5.071624504724169</v>
      </c>
      <c r="J107" s="31">
        <f>'BD SHEET FROM COMPANY'!F106</f>
        <v>1991</v>
      </c>
      <c r="K107" s="11">
        <v>2022</v>
      </c>
      <c r="L107" s="10">
        <f t="shared" si="15"/>
        <v>31</v>
      </c>
      <c r="M107" s="11">
        <v>60</v>
      </c>
      <c r="N107" s="12">
        <v>0.1</v>
      </c>
      <c r="O107" s="13">
        <f t="shared" si="9"/>
        <v>1.5000000000000001E-2</v>
      </c>
      <c r="P107" s="25">
        <v>1200</v>
      </c>
      <c r="Q107" s="14">
        <f t="shared" si="10"/>
        <v>1355760</v>
      </c>
      <c r="R107" s="14">
        <f t="shared" si="11"/>
        <v>630428.4</v>
      </c>
      <c r="S107" s="14">
        <f t="shared" si="12"/>
        <v>725331.6</v>
      </c>
      <c r="T107" s="15">
        <v>0.3</v>
      </c>
      <c r="U107" s="14">
        <f t="shared" si="16"/>
        <v>507732.11999999994</v>
      </c>
      <c r="V107" s="3">
        <f t="shared" si="17"/>
        <v>449.4</v>
      </c>
    </row>
    <row r="108" spans="1:22" ht="16.5" x14ac:dyDescent="0.25">
      <c r="A108" s="7">
        <v>103</v>
      </c>
      <c r="B108" s="98" t="str">
        <f>'BD SHEET FROM COMPANY'!B107</f>
        <v>CHIMNEY NEAR  50 T BOILER</v>
      </c>
      <c r="C108" s="7">
        <v>0</v>
      </c>
      <c r="D108" s="8" t="s">
        <v>169</v>
      </c>
      <c r="E108" s="9">
        <f>'BD SHEET FROM COMPANY'!K107</f>
        <v>215.2</v>
      </c>
      <c r="F108" s="9"/>
      <c r="G108" s="95">
        <f t="shared" si="13"/>
        <v>19.992753555867296</v>
      </c>
      <c r="H108" s="10">
        <f>'BD SHEET FROM COMPANY'!E107</f>
        <v>199.67999999999998</v>
      </c>
      <c r="I108" s="30">
        <f t="shared" si="14"/>
        <v>60.859494056690025</v>
      </c>
      <c r="J108" s="31">
        <f>'BD SHEET FROM COMPANY'!F107</f>
        <v>1991</v>
      </c>
      <c r="K108" s="11">
        <v>2022</v>
      </c>
      <c r="L108" s="10">
        <f t="shared" si="15"/>
        <v>31</v>
      </c>
      <c r="M108" s="11">
        <v>40</v>
      </c>
      <c r="N108" s="12">
        <v>0.1</v>
      </c>
      <c r="O108" s="13">
        <f t="shared" si="9"/>
        <v>2.2499999999999999E-2</v>
      </c>
      <c r="P108" s="25">
        <f>IF((H108&lt;=5),VLOOKUP(D108,'building rates'!$B$30:$H$54,2,FALSE),IF(AND(H108&gt;5,H108&lt;=12),VLOOKUP(D108,'building rates'!$B$30:$H$54,3,FALSE),IF(AND(H108&gt;12,H108&lt;=15),VLOOKUP(D108,'building rates'!$B$30:$H$54,4,FALSE),IF(AND(H108&gt;15,H108&lt;=20),VLOOKUP(D108,'building rates'!$B$30:$H$54,5,FALSE),IF(AND(H108&gt;20,H108&lt;=25),VLOOKUP(D108,'building rates'!$B$30:$H$54,6,FALSE),IF(H108&gt;25,VLOOKUP(D108,'building rates'!$B$30:$H$54,7,FALSE),0))))))</f>
        <v>200</v>
      </c>
      <c r="Q108" s="14">
        <f t="shared" si="10"/>
        <v>43040</v>
      </c>
      <c r="R108" s="14">
        <f t="shared" si="11"/>
        <v>30020.399999999998</v>
      </c>
      <c r="S108" s="14">
        <f t="shared" si="12"/>
        <v>13019.600000000002</v>
      </c>
      <c r="T108" s="15">
        <v>0.2</v>
      </c>
      <c r="U108" s="14">
        <f t="shared" si="16"/>
        <v>10415.680000000002</v>
      </c>
      <c r="V108" s="3">
        <f t="shared" si="17"/>
        <v>48.400000000000013</v>
      </c>
    </row>
    <row r="109" spans="1:22" ht="45" x14ac:dyDescent="0.25">
      <c r="A109" s="7">
        <v>104</v>
      </c>
      <c r="B109" s="98" t="str">
        <f>'BD SHEET FROM COMPANY'!B108</f>
        <v>TURBINE RCC ROOF,NOT IN USE</v>
      </c>
      <c r="C109" s="7">
        <v>2</v>
      </c>
      <c r="D109" s="8" t="s">
        <v>158</v>
      </c>
      <c r="E109" s="9">
        <f>'BD SHEET FROM COMPANY'!K108</f>
        <v>11233.44</v>
      </c>
      <c r="F109" s="9"/>
      <c r="G109" s="95">
        <f t="shared" si="13"/>
        <v>1043.6217356162731</v>
      </c>
      <c r="H109" s="10">
        <f>'BD SHEET FROM COMPANY'!E108</f>
        <v>53.247999999999998</v>
      </c>
      <c r="I109" s="30">
        <f t="shared" si="14"/>
        <v>16.229198415117342</v>
      </c>
      <c r="J109" s="31">
        <f>'BD SHEET FROM COMPANY'!F108</f>
        <v>1991</v>
      </c>
      <c r="K109" s="11">
        <v>2022</v>
      </c>
      <c r="L109" s="10">
        <f t="shared" si="15"/>
        <v>31</v>
      </c>
      <c r="M109" s="11">
        <v>60</v>
      </c>
      <c r="N109" s="12">
        <v>0.1</v>
      </c>
      <c r="O109" s="13">
        <f t="shared" si="9"/>
        <v>1.5000000000000001E-2</v>
      </c>
      <c r="P109" s="25">
        <f>IF((H109&lt;=5),VLOOKUP(D109,'building rates'!$B$30:$H$54,2,FALSE),IF(AND(H109&gt;5,H109&lt;=12),VLOOKUP(D109,'building rates'!$B$30:$H$54,3,FALSE),IF(AND(H109&gt;12,H109&lt;=15),VLOOKUP(D109,'building rates'!$B$30:$H$54,4,FALSE),IF(AND(H109&gt;15,H109&lt;=20),VLOOKUP(D109,'building rates'!$B$30:$H$54,5,FALSE),IF(AND(H109&gt;20,H109&lt;=25),VLOOKUP(D109,'building rates'!$B$30:$H$54,6,FALSE),IF(H109&gt;25,VLOOKUP(D109,'building rates'!$B$30:$H$54,7,FALSE),0))))))</f>
        <v>1700</v>
      </c>
      <c r="Q109" s="14">
        <f t="shared" si="10"/>
        <v>19096848</v>
      </c>
      <c r="R109" s="14">
        <f t="shared" si="11"/>
        <v>8880034.3200000003</v>
      </c>
      <c r="S109" s="14">
        <f t="shared" si="12"/>
        <v>10216813.68</v>
      </c>
      <c r="T109" s="15">
        <v>0.3</v>
      </c>
      <c r="U109" s="14">
        <f t="shared" si="16"/>
        <v>7151769.5759999994</v>
      </c>
      <c r="V109" s="3">
        <f t="shared" si="17"/>
        <v>636.64999999999986</v>
      </c>
    </row>
    <row r="110" spans="1:22" ht="45" x14ac:dyDescent="0.25">
      <c r="A110" s="7">
        <v>105</v>
      </c>
      <c r="B110" s="98" t="str">
        <f>'BD SHEET FROM COMPANY'!B109</f>
        <v>TURBINE (MEZZ. FLOOR), NOT IN USE</v>
      </c>
      <c r="C110" s="7">
        <v>1</v>
      </c>
      <c r="D110" s="8" t="s">
        <v>158</v>
      </c>
      <c r="E110" s="9">
        <f>'BD SHEET FROM COMPANY'!K109</f>
        <v>9813.119999999999</v>
      </c>
      <c r="F110" s="9"/>
      <c r="G110" s="95">
        <f t="shared" si="13"/>
        <v>911.66956214754873</v>
      </c>
      <c r="H110" s="10">
        <f>'BD SHEET FROM COMPANY'!E109</f>
        <v>24.959999999999997</v>
      </c>
      <c r="I110" s="30">
        <f t="shared" si="14"/>
        <v>7.6074367570862531</v>
      </c>
      <c r="J110" s="31">
        <f>'BD SHEET FROM COMPANY'!F109</f>
        <v>1991</v>
      </c>
      <c r="K110" s="11">
        <v>2022</v>
      </c>
      <c r="L110" s="10">
        <f t="shared" si="15"/>
        <v>31</v>
      </c>
      <c r="M110" s="11">
        <v>60</v>
      </c>
      <c r="N110" s="12">
        <v>0.1</v>
      </c>
      <c r="O110" s="13">
        <f t="shared" si="9"/>
        <v>1.5000000000000001E-2</v>
      </c>
      <c r="P110" s="25">
        <v>1400</v>
      </c>
      <c r="Q110" s="14">
        <f t="shared" si="10"/>
        <v>13738367.999999998</v>
      </c>
      <c r="R110" s="14">
        <f t="shared" si="11"/>
        <v>6388341.1200000001</v>
      </c>
      <c r="S110" s="14">
        <f t="shared" si="12"/>
        <v>7350026.879999998</v>
      </c>
      <c r="T110" s="15">
        <v>0.3</v>
      </c>
      <c r="U110" s="14">
        <f t="shared" si="16"/>
        <v>5145018.8159999987</v>
      </c>
      <c r="V110" s="3">
        <f t="shared" si="17"/>
        <v>524.29999999999995</v>
      </c>
    </row>
    <row r="111" spans="1:22" ht="16.5" x14ac:dyDescent="0.25">
      <c r="A111" s="7">
        <v>106</v>
      </c>
      <c r="B111" s="98" t="str">
        <f>'BD SHEET FROM COMPANY'!B110</f>
        <v>COOLING TOWER NO. # 5</v>
      </c>
      <c r="C111" s="7">
        <v>0</v>
      </c>
      <c r="D111" s="8" t="s">
        <v>169</v>
      </c>
      <c r="E111" s="9">
        <f>'BD SHEET FROM COMPANY'!K110</f>
        <v>2944.1511999999998</v>
      </c>
      <c r="F111" s="9"/>
      <c r="G111" s="95">
        <f t="shared" si="13"/>
        <v>273.52086139782051</v>
      </c>
      <c r="H111" s="10">
        <f>'BD SHEET FROM COMPANY'!E110</f>
        <v>0</v>
      </c>
      <c r="I111" s="30">
        <f t="shared" si="14"/>
        <v>0</v>
      </c>
      <c r="J111" s="31">
        <f>'BD SHEET FROM COMPANY'!F110</f>
        <v>1991</v>
      </c>
      <c r="K111" s="11">
        <v>2022</v>
      </c>
      <c r="L111" s="10">
        <f t="shared" si="15"/>
        <v>31</v>
      </c>
      <c r="M111" s="11">
        <v>40</v>
      </c>
      <c r="N111" s="12">
        <v>0.1</v>
      </c>
      <c r="O111" s="13">
        <f t="shared" si="9"/>
        <v>2.2499999999999999E-2</v>
      </c>
      <c r="P111" s="25">
        <f>IF((H111&lt;=5),VLOOKUP(D111,'building rates'!$B$30:$H$54,2,FALSE),IF(AND(H111&gt;5,H111&lt;=12),VLOOKUP(D111,'building rates'!$B$30:$H$54,3,FALSE),IF(AND(H111&gt;12,H111&lt;=15),VLOOKUP(D111,'building rates'!$B$30:$H$54,4,FALSE),IF(AND(H111&gt;15,H111&lt;=20),VLOOKUP(D111,'building rates'!$B$30:$H$54,5,FALSE),IF(AND(H111&gt;20,H111&lt;=25),VLOOKUP(D111,'building rates'!$B$30:$H$54,6,FALSE),IF(H111&gt;25,VLOOKUP(D111,'building rates'!$B$30:$H$54,7,FALSE),0))))))</f>
        <v>100</v>
      </c>
      <c r="Q111" s="14">
        <f t="shared" si="10"/>
        <v>294415.12</v>
      </c>
      <c r="R111" s="14">
        <f t="shared" si="11"/>
        <v>205354.54619999998</v>
      </c>
      <c r="S111" s="14">
        <f t="shared" si="12"/>
        <v>89060.573800000013</v>
      </c>
      <c r="T111" s="15">
        <v>0.2</v>
      </c>
      <c r="U111" s="14">
        <f t="shared" si="16"/>
        <v>71248.459040000016</v>
      </c>
      <c r="V111" s="3">
        <f t="shared" si="17"/>
        <v>24.200000000000006</v>
      </c>
    </row>
    <row r="112" spans="1:22" ht="60" x14ac:dyDescent="0.25">
      <c r="A112" s="7">
        <v>107</v>
      </c>
      <c r="B112" s="98" t="str">
        <f>'BD SHEET FROM COMPANY'!B111</f>
        <v>HAZARDUS STORE (2 NOS.)</v>
      </c>
      <c r="C112" s="7">
        <v>1</v>
      </c>
      <c r="D112" s="8" t="s">
        <v>170</v>
      </c>
      <c r="E112" s="9">
        <f>'BD SHEET FROM COMPANY'!K111</f>
        <v>1076</v>
      </c>
      <c r="F112" s="9"/>
      <c r="G112" s="95">
        <f t="shared" si="13"/>
        <v>99.963767779336493</v>
      </c>
      <c r="H112" s="10">
        <f>'BD SHEET FROM COMPANY'!E111</f>
        <v>8.6527999999999992</v>
      </c>
      <c r="I112" s="30">
        <f t="shared" si="14"/>
        <v>2.6372447424565677</v>
      </c>
      <c r="J112" s="31">
        <f>'BD SHEET FROM COMPANY'!F111</f>
        <v>1998</v>
      </c>
      <c r="K112" s="11">
        <v>2022</v>
      </c>
      <c r="L112" s="10">
        <f t="shared" si="15"/>
        <v>24</v>
      </c>
      <c r="M112" s="11">
        <v>40</v>
      </c>
      <c r="N112" s="12">
        <v>0.1</v>
      </c>
      <c r="O112" s="13">
        <f t="shared" si="9"/>
        <v>2.2499999999999999E-2</v>
      </c>
      <c r="P112" s="25">
        <f>IF((H112&lt;=5),VLOOKUP(D112,'building rates'!$B$30:$H$54,2,FALSE),IF(AND(H112&gt;5,H112&lt;=12),VLOOKUP(D112,'building rates'!$B$30:$H$54,3,FALSE),IF(AND(H112&gt;12,H112&lt;=15),VLOOKUP(D112,'building rates'!$B$30:$H$54,4,FALSE),IF(AND(H112&gt;15,H112&lt;=20),VLOOKUP(D112,'building rates'!$B$30:$H$54,5,FALSE),IF(AND(H112&gt;20,H112&lt;=25),VLOOKUP(D112,'building rates'!$B$30:$H$54,6,FALSE),IF(H112&gt;25,VLOOKUP(D112,'building rates'!$B$30:$H$54,7,FALSE),0))))))</f>
        <v>400</v>
      </c>
      <c r="Q112" s="14">
        <f t="shared" si="10"/>
        <v>430400</v>
      </c>
      <c r="R112" s="14">
        <f t="shared" si="11"/>
        <v>232416</v>
      </c>
      <c r="S112" s="14">
        <f t="shared" si="12"/>
        <v>197984</v>
      </c>
      <c r="T112" s="15">
        <v>0.3</v>
      </c>
      <c r="U112" s="14">
        <f t="shared" si="16"/>
        <v>138588.79999999999</v>
      </c>
      <c r="V112" s="3">
        <f t="shared" si="17"/>
        <v>128.79999999999998</v>
      </c>
    </row>
    <row r="113" spans="1:22" ht="60" x14ac:dyDescent="0.25">
      <c r="A113" s="7">
        <v>108</v>
      </c>
      <c r="B113" s="98" t="str">
        <f>'BD SHEET FROM COMPANY'!B112</f>
        <v>PROJECT GODOWN</v>
      </c>
      <c r="C113" s="7">
        <v>1</v>
      </c>
      <c r="D113" s="8" t="s">
        <v>175</v>
      </c>
      <c r="E113" s="9">
        <f>'BD SHEET FROM COMPANY'!K112</f>
        <v>4454.6400000000003</v>
      </c>
      <c r="F113" s="9"/>
      <c r="G113" s="95">
        <f t="shared" si="13"/>
        <v>413.84999860645308</v>
      </c>
      <c r="H113" s="10">
        <f>'BD SHEET FROM COMPANY'!E112</f>
        <v>11.648</v>
      </c>
      <c r="I113" s="30">
        <f t="shared" si="14"/>
        <v>3.5501371533069186</v>
      </c>
      <c r="J113" s="31">
        <f>'BD SHEET FROM COMPANY'!F112</f>
        <v>2008</v>
      </c>
      <c r="K113" s="11">
        <v>2022</v>
      </c>
      <c r="L113" s="10">
        <f t="shared" si="15"/>
        <v>14</v>
      </c>
      <c r="M113" s="11">
        <v>30</v>
      </c>
      <c r="N113" s="12">
        <v>0.1</v>
      </c>
      <c r="O113" s="13">
        <f t="shared" si="9"/>
        <v>3.0000000000000002E-2</v>
      </c>
      <c r="P113" s="25">
        <f>IF((H113&lt;=5),VLOOKUP(D113,'building rates'!$B$30:$H$54,2,FALSE),IF(AND(H113&gt;5,H113&lt;=12),VLOOKUP(D113,'building rates'!$B$30:$H$54,3,FALSE),IF(AND(H113&gt;12,H113&lt;=15),VLOOKUP(D113,'building rates'!$B$30:$H$54,4,FALSE),IF(AND(H113&gt;15,H113&lt;=20),VLOOKUP(D113,'building rates'!$B$30:$H$54,5,FALSE),IF(AND(H113&gt;20,H113&lt;=25),VLOOKUP(D113,'building rates'!$B$30:$H$54,6,FALSE),IF(H113&gt;25,VLOOKUP(D113,'building rates'!$B$30:$H$54,7,FALSE),0))))))</f>
        <v>300</v>
      </c>
      <c r="Q113" s="14">
        <f t="shared" si="10"/>
        <v>1336392</v>
      </c>
      <c r="R113" s="14">
        <f t="shared" si="11"/>
        <v>561284.64</v>
      </c>
      <c r="S113" s="14">
        <f t="shared" si="12"/>
        <v>775107.36</v>
      </c>
      <c r="T113" s="15">
        <v>0.2</v>
      </c>
      <c r="U113" s="14">
        <f t="shared" si="16"/>
        <v>620085.88800000004</v>
      </c>
      <c r="V113" s="3">
        <f t="shared" si="17"/>
        <v>139.19999999999999</v>
      </c>
    </row>
    <row r="114" spans="1:22" ht="60" x14ac:dyDescent="0.25">
      <c r="A114" s="7">
        <v>109</v>
      </c>
      <c r="B114" s="98" t="str">
        <f>'BD SHEET FROM COMPANY'!B113</f>
        <v>CONTRACTOR SHED</v>
      </c>
      <c r="C114" s="7">
        <v>1</v>
      </c>
      <c r="D114" s="8" t="s">
        <v>176</v>
      </c>
      <c r="E114" s="9">
        <f>'BD SHEET FROM COMPANY'!K113</f>
        <v>2421</v>
      </c>
      <c r="F114" s="9"/>
      <c r="G114" s="95">
        <f t="shared" si="13"/>
        <v>224.91847750350709</v>
      </c>
      <c r="H114" s="10">
        <f>'BD SHEET FROM COMPANY'!E113</f>
        <v>13.311999999999999</v>
      </c>
      <c r="I114" s="30">
        <f t="shared" si="14"/>
        <v>4.0572996037793354</v>
      </c>
      <c r="J114" s="31">
        <f>'BD SHEET FROM COMPANY'!F113</f>
        <v>1991</v>
      </c>
      <c r="K114" s="11">
        <v>2022</v>
      </c>
      <c r="L114" s="10">
        <f t="shared" si="15"/>
        <v>31</v>
      </c>
      <c r="M114" s="11">
        <v>30</v>
      </c>
      <c r="N114" s="12">
        <v>0.1</v>
      </c>
      <c r="O114" s="13">
        <f t="shared" si="9"/>
        <v>3.0000000000000002E-2</v>
      </c>
      <c r="P114" s="25">
        <f>IF((H114&lt;=5),VLOOKUP(D114,'building rates'!$B$30:$H$54,2,FALSE),IF(AND(H114&gt;5,H114&lt;=12),VLOOKUP(D114,'building rates'!$B$30:$H$54,3,FALSE),IF(AND(H114&gt;12,H114&lt;=15),VLOOKUP(D114,'building rates'!$B$30:$H$54,4,FALSE),IF(AND(H114&gt;15,H114&lt;=20),VLOOKUP(D114,'building rates'!$B$30:$H$54,5,FALSE),IF(AND(H114&gt;20,H114&lt;=25),VLOOKUP(D114,'building rates'!$B$30:$H$54,6,FALSE),IF(H114&gt;25,VLOOKUP(D114,'building rates'!$B$30:$H$54,7,FALSE),0))))))</f>
        <v>400</v>
      </c>
      <c r="Q114" s="14">
        <f t="shared" si="10"/>
        <v>968400</v>
      </c>
      <c r="R114" s="14">
        <f t="shared" si="11"/>
        <v>900612.00000000012</v>
      </c>
      <c r="S114" s="14">
        <f t="shared" si="12"/>
        <v>67787.999999999884</v>
      </c>
      <c r="T114" s="15">
        <v>0.2</v>
      </c>
      <c r="U114" s="14">
        <f t="shared" si="16"/>
        <v>96840</v>
      </c>
      <c r="V114" s="3">
        <f t="shared" si="17"/>
        <v>40</v>
      </c>
    </row>
    <row r="115" spans="1:22" ht="60" x14ac:dyDescent="0.25">
      <c r="A115" s="7">
        <v>110</v>
      </c>
      <c r="B115" s="98" t="str">
        <f>'BD SHEET FROM COMPANY'!B114</f>
        <v>BUS PARKING SHED</v>
      </c>
      <c r="C115" s="7">
        <v>1</v>
      </c>
      <c r="D115" s="8" t="s">
        <v>177</v>
      </c>
      <c r="E115" s="9">
        <f>'BD SHEET FROM COMPANY'!K114</f>
        <v>3228</v>
      </c>
      <c r="F115" s="9"/>
      <c r="G115" s="95">
        <f t="shared" si="13"/>
        <v>299.89130333800949</v>
      </c>
      <c r="H115" s="10">
        <f>'BD SHEET FROM COMPANY'!E114</f>
        <v>16.64</v>
      </c>
      <c r="I115" s="30">
        <f t="shared" si="14"/>
        <v>5.071624504724169</v>
      </c>
      <c r="J115" s="31">
        <f>'BD SHEET FROM COMPANY'!F114</f>
        <v>1991</v>
      </c>
      <c r="K115" s="11">
        <v>2022</v>
      </c>
      <c r="L115" s="10">
        <f t="shared" si="15"/>
        <v>31</v>
      </c>
      <c r="M115" s="11">
        <v>30</v>
      </c>
      <c r="N115" s="12">
        <v>0.1</v>
      </c>
      <c r="O115" s="13">
        <f t="shared" si="9"/>
        <v>3.0000000000000002E-2</v>
      </c>
      <c r="P115" s="25">
        <f>IF((H115&lt;=5),VLOOKUP(D115,'building rates'!$B$30:$H$54,2,FALSE),IF(AND(H115&gt;5,H115&lt;=12),VLOOKUP(D115,'building rates'!$B$30:$H$54,3,FALSE),IF(AND(H115&gt;12,H115&lt;=15),VLOOKUP(D115,'building rates'!$B$30:$H$54,4,FALSE),IF(AND(H115&gt;15,H115&lt;=20),VLOOKUP(D115,'building rates'!$B$30:$H$54,5,FALSE),IF(AND(H115&gt;20,H115&lt;=25),VLOOKUP(D115,'building rates'!$B$30:$H$54,6,FALSE),IF(H115&gt;25,VLOOKUP(D115,'building rates'!$B$30:$H$54,7,FALSE),0))))))</f>
        <v>600</v>
      </c>
      <c r="Q115" s="14">
        <f t="shared" si="10"/>
        <v>1936800</v>
      </c>
      <c r="R115" s="14">
        <f t="shared" si="11"/>
        <v>1801224.0000000002</v>
      </c>
      <c r="S115" s="14">
        <f t="shared" si="12"/>
        <v>135575.99999999977</v>
      </c>
      <c r="T115" s="15">
        <v>0.2</v>
      </c>
      <c r="U115" s="14">
        <f t="shared" si="16"/>
        <v>193680</v>
      </c>
      <c r="V115" s="3">
        <f t="shared" si="17"/>
        <v>60</v>
      </c>
    </row>
    <row r="116" spans="1:22" ht="60" x14ac:dyDescent="0.25">
      <c r="A116" s="7">
        <v>111</v>
      </c>
      <c r="B116" s="98" t="str">
        <f>'BD SHEET FROM COMPANY'!B115</f>
        <v>BIKE / CYCLE PARKING SHED</v>
      </c>
      <c r="C116" s="7">
        <v>1</v>
      </c>
      <c r="D116" s="8" t="s">
        <v>178</v>
      </c>
      <c r="E116" s="9">
        <f>'BD SHEET FROM COMPANY'!K115</f>
        <v>4842</v>
      </c>
      <c r="F116" s="9"/>
      <c r="G116" s="95">
        <f t="shared" si="13"/>
        <v>449.83695500701418</v>
      </c>
      <c r="H116" s="10">
        <f>'BD SHEET FROM COMPANY'!E115</f>
        <v>13.311999999999999</v>
      </c>
      <c r="I116" s="30">
        <f t="shared" si="14"/>
        <v>4.0572996037793354</v>
      </c>
      <c r="J116" s="31">
        <f>'BD SHEET FROM COMPANY'!F115</f>
        <v>2012</v>
      </c>
      <c r="K116" s="11">
        <v>2022</v>
      </c>
      <c r="L116" s="10">
        <f t="shared" si="15"/>
        <v>10</v>
      </c>
      <c r="M116" s="11">
        <v>30</v>
      </c>
      <c r="N116" s="12">
        <v>0.1</v>
      </c>
      <c r="O116" s="13">
        <f t="shared" si="9"/>
        <v>3.0000000000000002E-2</v>
      </c>
      <c r="P116" s="25">
        <f>IF((H116&lt;=5),VLOOKUP(D116,'building rates'!$B$30:$H$54,2,FALSE),IF(AND(H116&gt;5,H116&lt;=12),VLOOKUP(D116,'building rates'!$B$30:$H$54,3,FALSE),IF(AND(H116&gt;12,H116&lt;=15),VLOOKUP(D116,'building rates'!$B$30:$H$54,4,FALSE),IF(AND(H116&gt;15,H116&lt;=20),VLOOKUP(D116,'building rates'!$B$30:$H$54,5,FALSE),IF(AND(H116&gt;20,H116&lt;=25),VLOOKUP(D116,'building rates'!$B$30:$H$54,6,FALSE),IF(H116&gt;25,VLOOKUP(D116,'building rates'!$B$30:$H$54,7,FALSE),0))))))</f>
        <v>400</v>
      </c>
      <c r="Q116" s="14">
        <f t="shared" si="10"/>
        <v>1936800</v>
      </c>
      <c r="R116" s="14">
        <f t="shared" si="11"/>
        <v>581040.00000000012</v>
      </c>
      <c r="S116" s="14">
        <f t="shared" si="12"/>
        <v>1355760</v>
      </c>
      <c r="T116" s="15">
        <v>0.2</v>
      </c>
      <c r="U116" s="14">
        <f t="shared" si="16"/>
        <v>1084608</v>
      </c>
      <c r="V116" s="3">
        <f t="shared" si="17"/>
        <v>224</v>
      </c>
    </row>
    <row r="117" spans="1:22" ht="30" x14ac:dyDescent="0.25">
      <c r="A117" s="7">
        <v>112</v>
      </c>
      <c r="B117" s="98" t="str">
        <f>'BD SHEET FROM COMPANY'!B116</f>
        <v>E.T. PLANT (EFFLUENT TREATMENT PLANT)</v>
      </c>
      <c r="C117" s="7">
        <v>0</v>
      </c>
      <c r="D117" s="8" t="s">
        <v>179</v>
      </c>
      <c r="E117" s="9">
        <f>'BD SHEET FROM COMPANY'!K116</f>
        <v>3766</v>
      </c>
      <c r="F117" s="9"/>
      <c r="G117" s="95">
        <f t="shared" si="13"/>
        <v>349.8731872276777</v>
      </c>
      <c r="H117" s="10">
        <f>'BD SHEET FROM COMPANY'!E116</f>
        <v>0</v>
      </c>
      <c r="I117" s="30">
        <f t="shared" si="14"/>
        <v>0</v>
      </c>
      <c r="J117" s="31">
        <f>'BD SHEET FROM COMPANY'!F116</f>
        <v>1991</v>
      </c>
      <c r="K117" s="11">
        <v>2022</v>
      </c>
      <c r="L117" s="10">
        <f t="shared" si="15"/>
        <v>31</v>
      </c>
      <c r="M117" s="11">
        <v>40</v>
      </c>
      <c r="N117" s="12">
        <v>0.1</v>
      </c>
      <c r="O117" s="13">
        <f t="shared" si="9"/>
        <v>2.2499999999999999E-2</v>
      </c>
      <c r="P117" s="25">
        <f>IF((H117&lt;=5),VLOOKUP(D117,'building rates'!$B$30:$H$54,2,FALSE),IF(AND(H117&gt;5,H117&lt;=12),VLOOKUP(D117,'building rates'!$B$30:$H$54,3,FALSE),IF(AND(H117&gt;12,H117&lt;=15),VLOOKUP(D117,'building rates'!$B$30:$H$54,4,FALSE),IF(AND(H117&gt;15,H117&lt;=20),VLOOKUP(D117,'building rates'!$B$30:$H$54,5,FALSE),IF(AND(H117&gt;20,H117&lt;=25),VLOOKUP(D117,'building rates'!$B$30:$H$54,6,FALSE),IF(H117&gt;25,VLOOKUP(D117,'building rates'!$B$30:$H$54,7,FALSE),0))))))</f>
        <v>100</v>
      </c>
      <c r="Q117" s="14">
        <f t="shared" si="10"/>
        <v>376600</v>
      </c>
      <c r="R117" s="14">
        <f t="shared" si="11"/>
        <v>262678.5</v>
      </c>
      <c r="S117" s="14">
        <f t="shared" si="12"/>
        <v>113921.5</v>
      </c>
      <c r="T117" s="15">
        <v>0.2</v>
      </c>
      <c r="U117" s="14">
        <f t="shared" si="16"/>
        <v>91137.200000000012</v>
      </c>
      <c r="V117" s="3">
        <f t="shared" si="17"/>
        <v>24.200000000000003</v>
      </c>
    </row>
    <row r="118" spans="1:22" ht="30" x14ac:dyDescent="0.25">
      <c r="A118" s="7">
        <v>113</v>
      </c>
      <c r="B118" s="98" t="str">
        <f>'BD SHEET FROM COMPANY'!B117</f>
        <v>S.T. PLANT (SEWER TREATMENT PLANT)</v>
      </c>
      <c r="C118" s="7">
        <v>0</v>
      </c>
      <c r="D118" s="8" t="s">
        <v>180</v>
      </c>
      <c r="E118" s="9">
        <f>'BD SHEET FROM COMPANY'!K117</f>
        <v>2959</v>
      </c>
      <c r="F118" s="9"/>
      <c r="G118" s="95">
        <f t="shared" si="13"/>
        <v>274.90036139317533</v>
      </c>
      <c r="H118" s="10">
        <f>'BD SHEET FROM COMPANY'!E117</f>
        <v>0</v>
      </c>
      <c r="I118" s="30">
        <f t="shared" si="14"/>
        <v>0</v>
      </c>
      <c r="J118" s="31">
        <f>'BD SHEET FROM COMPANY'!F117</f>
        <v>2014</v>
      </c>
      <c r="K118" s="11">
        <v>2022</v>
      </c>
      <c r="L118" s="10">
        <f t="shared" si="15"/>
        <v>8</v>
      </c>
      <c r="M118" s="11">
        <v>40</v>
      </c>
      <c r="N118" s="12">
        <v>0.1</v>
      </c>
      <c r="O118" s="13">
        <f t="shared" si="9"/>
        <v>2.2499999999999999E-2</v>
      </c>
      <c r="P118" s="25">
        <f>IF((H118&lt;=5),VLOOKUP(D118,'building rates'!$B$30:$H$54,2,FALSE),IF(AND(H118&gt;5,H118&lt;=12),VLOOKUP(D118,'building rates'!$B$30:$H$54,3,FALSE),IF(AND(H118&gt;12,H118&lt;=15),VLOOKUP(D118,'building rates'!$B$30:$H$54,4,FALSE),IF(AND(H118&gt;15,H118&lt;=20),VLOOKUP(D118,'building rates'!$B$30:$H$54,5,FALSE),IF(AND(H118&gt;20,H118&lt;=25),VLOOKUP(D118,'building rates'!$B$30:$H$54,6,FALSE),IF(H118&gt;25,VLOOKUP(D118,'building rates'!$B$30:$H$54,7,FALSE),0))))))</f>
        <v>100</v>
      </c>
      <c r="Q118" s="14">
        <f t="shared" si="10"/>
        <v>295900</v>
      </c>
      <c r="R118" s="14">
        <f t="shared" si="11"/>
        <v>53262</v>
      </c>
      <c r="S118" s="14">
        <f t="shared" si="12"/>
        <v>242638</v>
      </c>
      <c r="T118" s="15">
        <v>0.2</v>
      </c>
      <c r="U118" s="14">
        <f t="shared" si="16"/>
        <v>194110.40000000002</v>
      </c>
      <c r="V118" s="3">
        <f t="shared" si="17"/>
        <v>65.600000000000009</v>
      </c>
    </row>
    <row r="119" spans="1:22" ht="45" x14ac:dyDescent="0.25">
      <c r="A119" s="7">
        <v>114</v>
      </c>
      <c r="B119" s="98" t="str">
        <f>'BD SHEET FROM COMPANY'!B118</f>
        <v>32 TPH Boiler (MEZZ. FLOOR)</v>
      </c>
      <c r="C119" s="7">
        <v>1</v>
      </c>
      <c r="D119" s="8" t="s">
        <v>158</v>
      </c>
      <c r="E119" s="9">
        <f>'BD SHEET FROM COMPANY'!K118</f>
        <v>1614</v>
      </c>
      <c r="F119" s="9"/>
      <c r="G119" s="95">
        <f t="shared" si="13"/>
        <v>149.94565166900475</v>
      </c>
      <c r="H119" s="10">
        <f>'BD SHEET FROM COMPANY'!E118</f>
        <v>13.311999999999999</v>
      </c>
      <c r="I119" s="30">
        <f t="shared" si="14"/>
        <v>4.0572996037793354</v>
      </c>
      <c r="J119" s="31">
        <f>'BD SHEET FROM COMPANY'!F118</f>
        <v>2019</v>
      </c>
      <c r="K119" s="11">
        <v>2022</v>
      </c>
      <c r="L119" s="10">
        <f t="shared" si="15"/>
        <v>3</v>
      </c>
      <c r="M119" s="11">
        <v>60</v>
      </c>
      <c r="N119" s="12">
        <v>0.1</v>
      </c>
      <c r="O119" s="13">
        <f t="shared" si="9"/>
        <v>1.5000000000000001E-2</v>
      </c>
      <c r="P119" s="25">
        <v>1000</v>
      </c>
      <c r="Q119" s="14">
        <f t="shared" si="10"/>
        <v>1614000</v>
      </c>
      <c r="R119" s="14">
        <f t="shared" si="11"/>
        <v>72630.000000000015</v>
      </c>
      <c r="S119" s="14">
        <f t="shared" si="12"/>
        <v>1541370</v>
      </c>
      <c r="T119" s="15">
        <v>0.2</v>
      </c>
      <c r="U119" s="14">
        <f t="shared" si="16"/>
        <v>1233096</v>
      </c>
      <c r="V119" s="3">
        <f t="shared" si="17"/>
        <v>764</v>
      </c>
    </row>
    <row r="120" spans="1:22" ht="45" x14ac:dyDescent="0.25">
      <c r="A120" s="7">
        <v>115</v>
      </c>
      <c r="B120" s="98" t="str">
        <f>'BD SHEET FROM COMPANY'!B119</f>
        <v>32 TPH Boiler (RCC ROOF SLAB)</v>
      </c>
      <c r="C120" s="7">
        <v>1</v>
      </c>
      <c r="D120" s="8" t="s">
        <v>158</v>
      </c>
      <c r="E120" s="9">
        <f>'BD SHEET FROM COMPANY'!K119</f>
        <v>1614</v>
      </c>
      <c r="F120" s="9"/>
      <c r="G120" s="95">
        <f t="shared" si="13"/>
        <v>149.94565166900475</v>
      </c>
      <c r="H120" s="10">
        <f>'BD SHEET FROM COMPANY'!E119</f>
        <v>21.631999999999998</v>
      </c>
      <c r="I120" s="30">
        <f t="shared" si="14"/>
        <v>6.5931118561414195</v>
      </c>
      <c r="J120" s="31">
        <f>'BD SHEET FROM COMPANY'!F119</f>
        <v>2019</v>
      </c>
      <c r="K120" s="11">
        <v>2022</v>
      </c>
      <c r="L120" s="10">
        <f t="shared" si="15"/>
        <v>3</v>
      </c>
      <c r="M120" s="11">
        <v>60</v>
      </c>
      <c r="N120" s="12">
        <v>0.1</v>
      </c>
      <c r="O120" s="13">
        <f t="shared" si="9"/>
        <v>1.5000000000000001E-2</v>
      </c>
      <c r="P120" s="25">
        <f>IF((H120&lt;=5),VLOOKUP(D120,'building rates'!$B$30:$H$54,2,FALSE),IF(AND(H120&gt;5,H120&lt;=12),VLOOKUP(D120,'building rates'!$B$30:$H$54,3,FALSE),IF(AND(H120&gt;12,H120&lt;=15),VLOOKUP(D120,'building rates'!$B$30:$H$54,4,FALSE),IF(AND(H120&gt;15,H120&lt;=20),VLOOKUP(D120,'building rates'!$B$30:$H$54,5,FALSE),IF(AND(H120&gt;20,H120&lt;=25),VLOOKUP(D120,'building rates'!$B$30:$H$54,6,FALSE),IF(H120&gt;25,VLOOKUP(D120,'building rates'!$B$30:$H$54,7,FALSE),0))))))</f>
        <v>1500</v>
      </c>
      <c r="Q120" s="14">
        <f t="shared" si="10"/>
        <v>2421000</v>
      </c>
      <c r="R120" s="14">
        <f t="shared" si="11"/>
        <v>108945</v>
      </c>
      <c r="S120" s="14">
        <f t="shared" si="12"/>
        <v>2312055</v>
      </c>
      <c r="T120" s="15">
        <v>0.2</v>
      </c>
      <c r="U120" s="14">
        <f t="shared" si="16"/>
        <v>1849644</v>
      </c>
      <c r="V120" s="3">
        <f t="shared" si="17"/>
        <v>1146</v>
      </c>
    </row>
    <row r="121" spans="1:22" ht="60" x14ac:dyDescent="0.25">
      <c r="A121" s="7">
        <v>116</v>
      </c>
      <c r="B121" s="98" t="str">
        <f>'BD SHEET FROM COMPANY'!B120</f>
        <v xml:space="preserve">BIO MASS SHED </v>
      </c>
      <c r="C121" s="7">
        <v>1</v>
      </c>
      <c r="D121" s="8" t="s">
        <v>181</v>
      </c>
      <c r="E121" s="9">
        <f>'BD SHEET FROM COMPANY'!K120</f>
        <v>19368</v>
      </c>
      <c r="F121" s="9"/>
      <c r="G121" s="95">
        <f t="shared" si="13"/>
        <v>1799.3478200280567</v>
      </c>
      <c r="H121" s="10">
        <f>'BD SHEET FROM COMPANY'!E120</f>
        <v>28.288</v>
      </c>
      <c r="I121" s="30">
        <f t="shared" si="14"/>
        <v>8.6217616580310885</v>
      </c>
      <c r="J121" s="31">
        <f>'BD SHEET FROM COMPANY'!F120</f>
        <v>2022</v>
      </c>
      <c r="K121" s="11">
        <v>2022</v>
      </c>
      <c r="L121" s="10">
        <f t="shared" si="15"/>
        <v>0</v>
      </c>
      <c r="M121" s="11">
        <v>30</v>
      </c>
      <c r="N121" s="12">
        <v>0.1</v>
      </c>
      <c r="O121" s="13">
        <f t="shared" si="9"/>
        <v>3.0000000000000002E-2</v>
      </c>
      <c r="P121" s="25">
        <f>IF((H121&lt;=5),VLOOKUP(D121,'building rates'!$B$30:$H$54,2,FALSE),IF(AND(H121&gt;5,H121&lt;=12),VLOOKUP(D121,'building rates'!$B$30:$H$54,3,FALSE),IF(AND(H121&gt;12,H121&lt;=15),VLOOKUP(D121,'building rates'!$B$30:$H$54,4,FALSE),IF(AND(H121&gt;15,H121&lt;=20),VLOOKUP(D121,'building rates'!$B$30:$H$54,5,FALSE),IF(AND(H121&gt;20,H121&lt;=25),VLOOKUP(D121,'building rates'!$B$30:$H$54,6,FALSE),IF(H121&gt;25,VLOOKUP(D121,'building rates'!$B$30:$H$54,7,FALSE),0))))))</f>
        <v>1000</v>
      </c>
      <c r="Q121" s="14">
        <f t="shared" si="10"/>
        <v>19368000</v>
      </c>
      <c r="R121" s="14">
        <f t="shared" si="11"/>
        <v>0</v>
      </c>
      <c r="S121" s="14">
        <f t="shared" si="12"/>
        <v>19368000</v>
      </c>
      <c r="T121" s="15">
        <v>0.05</v>
      </c>
      <c r="U121" s="14">
        <f t="shared" si="16"/>
        <v>18399600</v>
      </c>
      <c r="V121" s="3">
        <f t="shared" si="17"/>
        <v>950</v>
      </c>
    </row>
    <row r="122" spans="1:22" ht="60" x14ac:dyDescent="0.25">
      <c r="A122" s="7">
        <v>117</v>
      </c>
      <c r="B122" s="98" t="str">
        <f>'BD SHEET FROM COMPANY'!B121</f>
        <v xml:space="preserve">COAL STORAGE SHED </v>
      </c>
      <c r="C122" s="7">
        <v>1</v>
      </c>
      <c r="D122" s="8" t="s">
        <v>181</v>
      </c>
      <c r="E122" s="9">
        <f>'BD SHEET FROM COMPANY'!K121</f>
        <v>5874.96</v>
      </c>
      <c r="F122" s="9"/>
      <c r="G122" s="95">
        <f t="shared" si="13"/>
        <v>545.80217207517728</v>
      </c>
      <c r="H122" s="10">
        <f>'BD SHEET FROM COMPANY'!E121</f>
        <v>28.288</v>
      </c>
      <c r="I122" s="30">
        <f t="shared" si="14"/>
        <v>8.6217616580310885</v>
      </c>
      <c r="J122" s="31">
        <f>'BD SHEET FROM COMPANY'!F121</f>
        <v>2008</v>
      </c>
      <c r="K122" s="11">
        <v>2022</v>
      </c>
      <c r="L122" s="10">
        <f t="shared" si="15"/>
        <v>14</v>
      </c>
      <c r="M122" s="11">
        <v>30</v>
      </c>
      <c r="N122" s="12">
        <v>0.1</v>
      </c>
      <c r="O122" s="13">
        <f t="shared" si="9"/>
        <v>3.0000000000000002E-2</v>
      </c>
      <c r="P122" s="25">
        <f>IF((H122&lt;=5),VLOOKUP(D122,'building rates'!$B$30:$H$54,2,FALSE),IF(AND(H122&gt;5,H122&lt;=12),VLOOKUP(D122,'building rates'!$B$30:$H$54,3,FALSE),IF(AND(H122&gt;12,H122&lt;=15),VLOOKUP(D122,'building rates'!$B$30:$H$54,4,FALSE),IF(AND(H122&gt;15,H122&lt;=20),VLOOKUP(D122,'building rates'!$B$30:$H$54,5,FALSE),IF(AND(H122&gt;20,H122&lt;=25),VLOOKUP(D122,'building rates'!$B$30:$H$54,6,FALSE),IF(H122&gt;25,VLOOKUP(D122,'building rates'!$B$30:$H$54,7,FALSE),0))))))</f>
        <v>1000</v>
      </c>
      <c r="Q122" s="14">
        <f t="shared" si="10"/>
        <v>5874960</v>
      </c>
      <c r="R122" s="14">
        <f t="shared" si="11"/>
        <v>2467483.2000000002</v>
      </c>
      <c r="S122" s="14">
        <f t="shared" si="12"/>
        <v>3407476.8</v>
      </c>
      <c r="T122" s="15">
        <v>0.2</v>
      </c>
      <c r="U122" s="14">
        <f t="shared" si="16"/>
        <v>2725981.44</v>
      </c>
      <c r="V122" s="3">
        <f t="shared" si="17"/>
        <v>464</v>
      </c>
    </row>
    <row r="123" spans="1:22" ht="60" x14ac:dyDescent="0.25">
      <c r="A123" s="7">
        <v>118</v>
      </c>
      <c r="B123" s="98" t="str">
        <f>'BD SHEET FROM COMPANY'!B122</f>
        <v>ELECTRICAL WORK SHOP</v>
      </c>
      <c r="C123" s="7">
        <v>1</v>
      </c>
      <c r="D123" s="8" t="s">
        <v>177</v>
      </c>
      <c r="E123" s="9">
        <f>'BD SHEET FROM COMPANY'!K122</f>
        <v>2485.56</v>
      </c>
      <c r="F123" s="9"/>
      <c r="G123" s="95">
        <f t="shared" si="13"/>
        <v>230.91630357026727</v>
      </c>
      <c r="H123" s="10">
        <f>'BD SHEET FROM COMPANY'!E122</f>
        <v>29.951999999999998</v>
      </c>
      <c r="I123" s="30">
        <f t="shared" si="14"/>
        <v>9.1289241085035044</v>
      </c>
      <c r="J123" s="31">
        <f>'BD SHEET FROM COMPANY'!F122</f>
        <v>1991</v>
      </c>
      <c r="K123" s="11">
        <v>2022</v>
      </c>
      <c r="L123" s="10">
        <f t="shared" si="15"/>
        <v>31</v>
      </c>
      <c r="M123" s="11">
        <v>30</v>
      </c>
      <c r="N123" s="12">
        <v>0.1</v>
      </c>
      <c r="O123" s="13">
        <f t="shared" si="9"/>
        <v>3.0000000000000002E-2</v>
      </c>
      <c r="P123" s="25">
        <f>IF((H123&lt;=5),VLOOKUP(D123,'building rates'!$B$30:$H$54,2,FALSE),IF(AND(H123&gt;5,H123&lt;=12),VLOOKUP(D123,'building rates'!$B$30:$H$54,3,FALSE),IF(AND(H123&gt;12,H123&lt;=15),VLOOKUP(D123,'building rates'!$B$30:$H$54,4,FALSE),IF(AND(H123&gt;15,H123&lt;=20),VLOOKUP(D123,'building rates'!$B$30:$H$54,5,FALSE),IF(AND(H123&gt;20,H123&lt;=25),VLOOKUP(D123,'building rates'!$B$30:$H$54,6,FALSE),IF(H123&gt;25,VLOOKUP(D123,'building rates'!$B$30:$H$54,7,FALSE),0))))))</f>
        <v>1000</v>
      </c>
      <c r="Q123" s="14">
        <f t="shared" si="10"/>
        <v>2485560</v>
      </c>
      <c r="R123" s="14">
        <f t="shared" si="11"/>
        <v>2311570.8000000003</v>
      </c>
      <c r="S123" s="14">
        <f t="shared" si="12"/>
        <v>173989.19999999972</v>
      </c>
      <c r="T123" s="15">
        <v>0.2</v>
      </c>
      <c r="U123" s="14">
        <f t="shared" si="16"/>
        <v>248556</v>
      </c>
      <c r="V123" s="3">
        <f t="shared" si="17"/>
        <v>100</v>
      </c>
    </row>
    <row r="124" spans="1:22" ht="60" x14ac:dyDescent="0.25">
      <c r="A124" s="7">
        <v>119</v>
      </c>
      <c r="B124" s="98" t="str">
        <f>'BD SHEET FROM COMPANY'!B123</f>
        <v>MOULD SHOP SHED</v>
      </c>
      <c r="C124" s="7">
        <v>1</v>
      </c>
      <c r="D124" s="8" t="s">
        <v>177</v>
      </c>
      <c r="E124" s="9">
        <f>'BD SHEET FROM COMPANY'!K123</f>
        <v>2485.56</v>
      </c>
      <c r="F124" s="9"/>
      <c r="G124" s="95">
        <f t="shared" si="13"/>
        <v>230.91630357026727</v>
      </c>
      <c r="H124" s="10">
        <f>'BD SHEET FROM COMPANY'!E123</f>
        <v>29.951999999999998</v>
      </c>
      <c r="I124" s="30">
        <f t="shared" si="14"/>
        <v>9.1289241085035044</v>
      </c>
      <c r="J124" s="31">
        <f>'BD SHEET FROM COMPANY'!F123</f>
        <v>1991</v>
      </c>
      <c r="K124" s="11">
        <v>2022</v>
      </c>
      <c r="L124" s="10">
        <f t="shared" si="15"/>
        <v>31</v>
      </c>
      <c r="M124" s="11">
        <v>30</v>
      </c>
      <c r="N124" s="12">
        <v>0.1</v>
      </c>
      <c r="O124" s="13">
        <f t="shared" si="9"/>
        <v>3.0000000000000002E-2</v>
      </c>
      <c r="P124" s="25">
        <f>IF((H124&lt;=5),VLOOKUP(D124,'building rates'!$B$30:$H$54,2,FALSE),IF(AND(H124&gt;5,H124&lt;=12),VLOOKUP(D124,'building rates'!$B$30:$H$54,3,FALSE),IF(AND(H124&gt;12,H124&lt;=15),VLOOKUP(D124,'building rates'!$B$30:$H$54,4,FALSE),IF(AND(H124&gt;15,H124&lt;=20),VLOOKUP(D124,'building rates'!$B$30:$H$54,5,FALSE),IF(AND(H124&gt;20,H124&lt;=25),VLOOKUP(D124,'building rates'!$B$30:$H$54,6,FALSE),IF(H124&gt;25,VLOOKUP(D124,'building rates'!$B$30:$H$54,7,FALSE),0))))))</f>
        <v>1000</v>
      </c>
      <c r="Q124" s="14">
        <f t="shared" si="10"/>
        <v>2485560</v>
      </c>
      <c r="R124" s="14">
        <f t="shared" si="11"/>
        <v>2311570.8000000003</v>
      </c>
      <c r="S124" s="14">
        <f t="shared" si="12"/>
        <v>173989.19999999972</v>
      </c>
      <c r="T124" s="15">
        <v>0.2</v>
      </c>
      <c r="U124" s="14">
        <f t="shared" si="16"/>
        <v>248556</v>
      </c>
      <c r="V124" s="3">
        <f t="shared" si="17"/>
        <v>100</v>
      </c>
    </row>
    <row r="125" spans="1:22" ht="60" x14ac:dyDescent="0.25">
      <c r="A125" s="7">
        <v>120</v>
      </c>
      <c r="B125" s="98" t="str">
        <f>'BD SHEET FROM COMPANY'!B124</f>
        <v xml:space="preserve">MECHANICAL WORK SHOP </v>
      </c>
      <c r="C125" s="7">
        <v>1</v>
      </c>
      <c r="D125" s="8" t="s">
        <v>175</v>
      </c>
      <c r="E125" s="9">
        <f>'BD SHEET FROM COMPANY'!K124</f>
        <v>2711.52</v>
      </c>
      <c r="F125" s="9"/>
      <c r="G125" s="95">
        <f t="shared" si="13"/>
        <v>251.90869480392794</v>
      </c>
      <c r="H125" s="10">
        <f>'BD SHEET FROM COMPANY'!E124</f>
        <v>13.311999999999999</v>
      </c>
      <c r="I125" s="30">
        <f t="shared" si="14"/>
        <v>4.0572996037793354</v>
      </c>
      <c r="J125" s="31">
        <f>'BD SHEET FROM COMPANY'!F124</f>
        <v>2002</v>
      </c>
      <c r="K125" s="11">
        <v>2022</v>
      </c>
      <c r="L125" s="10">
        <f t="shared" si="15"/>
        <v>20</v>
      </c>
      <c r="M125" s="11">
        <v>30</v>
      </c>
      <c r="N125" s="12">
        <v>0.1</v>
      </c>
      <c r="O125" s="13">
        <f t="shared" si="9"/>
        <v>3.0000000000000002E-2</v>
      </c>
      <c r="P125" s="25">
        <f>IF((H125&lt;=5),VLOOKUP(D125,'building rates'!$B$30:$H$54,2,FALSE),IF(AND(H125&gt;5,H125&lt;=12),VLOOKUP(D125,'building rates'!$B$30:$H$54,3,FALSE),IF(AND(H125&gt;12,H125&lt;=15),VLOOKUP(D125,'building rates'!$B$30:$H$54,4,FALSE),IF(AND(H125&gt;15,H125&lt;=20),VLOOKUP(D125,'building rates'!$B$30:$H$54,5,FALSE),IF(AND(H125&gt;20,H125&lt;=25),VLOOKUP(D125,'building rates'!$B$30:$H$54,6,FALSE),IF(H125&gt;25,VLOOKUP(D125,'building rates'!$B$30:$H$54,7,FALSE),0))))))</f>
        <v>400</v>
      </c>
      <c r="Q125" s="14">
        <f t="shared" si="10"/>
        <v>1084608</v>
      </c>
      <c r="R125" s="14">
        <f t="shared" si="11"/>
        <v>650764.80000000005</v>
      </c>
      <c r="S125" s="14">
        <f t="shared" si="12"/>
        <v>433843.19999999995</v>
      </c>
      <c r="T125" s="15">
        <v>0.2</v>
      </c>
      <c r="U125" s="14">
        <f t="shared" si="16"/>
        <v>347074.56</v>
      </c>
      <c r="V125" s="3">
        <f t="shared" si="17"/>
        <v>128</v>
      </c>
    </row>
    <row r="126" spans="1:22" x14ac:dyDescent="0.25">
      <c r="A126" s="113" t="s">
        <v>5</v>
      </c>
      <c r="B126" s="114"/>
      <c r="C126" s="114"/>
      <c r="D126" s="115"/>
      <c r="E126" s="17">
        <f>SUM(E6:E125)</f>
        <v>1240048.0528716801</v>
      </c>
      <c r="F126" s="17"/>
      <c r="G126" s="17">
        <f>SUM(G6:G125)</f>
        <v>115204.34534617382</v>
      </c>
      <c r="H126" s="113"/>
      <c r="I126" s="114"/>
      <c r="J126" s="114"/>
      <c r="K126" s="114"/>
      <c r="L126" s="114"/>
      <c r="M126" s="114"/>
      <c r="N126" s="114"/>
      <c r="O126" s="114"/>
      <c r="P126" s="115"/>
      <c r="Q126" s="18">
        <f>SUM(Q6:Q52)</f>
        <v>1102821000.0800002</v>
      </c>
      <c r="R126" s="18"/>
      <c r="S126" s="18"/>
      <c r="T126" s="18"/>
      <c r="U126" s="32">
        <f>SUM(U6:U125)</f>
        <v>578214554.61225593</v>
      </c>
    </row>
    <row r="127" spans="1:22" x14ac:dyDescent="0.25">
      <c r="A127" s="107" t="s">
        <v>26</v>
      </c>
      <c r="B127" s="108"/>
      <c r="C127" s="108"/>
      <c r="D127" s="108"/>
      <c r="E127" s="108"/>
      <c r="F127" s="108"/>
      <c r="G127" s="108"/>
      <c r="H127" s="108"/>
      <c r="I127" s="108"/>
      <c r="J127" s="108"/>
      <c r="K127" s="108"/>
      <c r="L127" s="108"/>
      <c r="M127" s="108"/>
      <c r="N127" s="108"/>
      <c r="O127" s="108"/>
      <c r="P127" s="108"/>
      <c r="Q127" s="108"/>
      <c r="R127" s="108"/>
      <c r="S127" s="108"/>
      <c r="T127" s="108"/>
      <c r="U127" s="109"/>
    </row>
    <row r="128" spans="1:22" x14ac:dyDescent="0.25">
      <c r="A128" s="107" t="s">
        <v>39</v>
      </c>
      <c r="B128" s="108"/>
      <c r="C128" s="108"/>
      <c r="D128" s="108"/>
      <c r="E128" s="108"/>
      <c r="F128" s="108"/>
      <c r="G128" s="108"/>
      <c r="H128" s="108"/>
      <c r="I128" s="108"/>
      <c r="J128" s="108"/>
      <c r="K128" s="108"/>
      <c r="L128" s="108"/>
      <c r="M128" s="108"/>
      <c r="N128" s="108"/>
      <c r="O128" s="108"/>
      <c r="P128" s="108"/>
      <c r="Q128" s="108"/>
      <c r="R128" s="108"/>
      <c r="S128" s="108"/>
      <c r="T128" s="108"/>
      <c r="U128" s="109"/>
    </row>
    <row r="129" spans="1:21" x14ac:dyDescent="0.25">
      <c r="A129" s="107" t="s">
        <v>259</v>
      </c>
      <c r="B129" s="108"/>
      <c r="C129" s="108"/>
      <c r="D129" s="108"/>
      <c r="E129" s="108"/>
      <c r="F129" s="108"/>
      <c r="G129" s="108"/>
      <c r="H129" s="108"/>
      <c r="I129" s="108"/>
      <c r="J129" s="108"/>
      <c r="K129" s="108"/>
      <c r="L129" s="108"/>
      <c r="M129" s="108"/>
      <c r="N129" s="108"/>
      <c r="O129" s="108"/>
      <c r="P129" s="108"/>
      <c r="Q129" s="108"/>
      <c r="R129" s="108"/>
      <c r="S129" s="108"/>
      <c r="T129" s="108"/>
      <c r="U129" s="109"/>
    </row>
    <row r="130" spans="1:21" x14ac:dyDescent="0.25">
      <c r="A130" s="107" t="s">
        <v>260</v>
      </c>
      <c r="B130" s="108"/>
      <c r="C130" s="108"/>
      <c r="D130" s="108"/>
      <c r="E130" s="108"/>
      <c r="F130" s="108"/>
      <c r="G130" s="108"/>
      <c r="H130" s="108"/>
      <c r="I130" s="108"/>
      <c r="J130" s="108"/>
      <c r="K130" s="108"/>
      <c r="L130" s="108"/>
      <c r="M130" s="108"/>
      <c r="N130" s="108"/>
      <c r="O130" s="108"/>
      <c r="P130" s="108"/>
      <c r="Q130" s="108"/>
      <c r="R130" s="108"/>
      <c r="S130" s="108"/>
      <c r="T130" s="108"/>
      <c r="U130" s="109"/>
    </row>
    <row r="131" spans="1:21" x14ac:dyDescent="0.25">
      <c r="A131" s="107" t="s">
        <v>29</v>
      </c>
      <c r="B131" s="108"/>
      <c r="C131" s="108"/>
      <c r="D131" s="108"/>
      <c r="E131" s="108"/>
      <c r="F131" s="108"/>
      <c r="G131" s="108"/>
      <c r="H131" s="108"/>
      <c r="I131" s="108"/>
      <c r="J131" s="108"/>
      <c r="K131" s="108"/>
      <c r="L131" s="108"/>
      <c r="M131" s="108"/>
      <c r="N131" s="108"/>
      <c r="O131" s="108"/>
      <c r="P131" s="108"/>
      <c r="Q131" s="108"/>
      <c r="R131" s="108"/>
      <c r="S131" s="108"/>
      <c r="T131" s="108"/>
      <c r="U131" s="109"/>
    </row>
    <row r="132" spans="1:21" ht="15" customHeight="1" x14ac:dyDescent="0.25">
      <c r="A132" s="107"/>
      <c r="B132" s="108"/>
      <c r="C132" s="108"/>
      <c r="D132" s="108"/>
      <c r="E132" s="108"/>
      <c r="F132" s="108"/>
      <c r="G132" s="108"/>
      <c r="H132" s="108"/>
      <c r="I132" s="108"/>
      <c r="J132" s="108"/>
      <c r="K132" s="108"/>
      <c r="L132" s="108"/>
      <c r="M132" s="108"/>
      <c r="N132" s="108"/>
      <c r="O132" s="108"/>
      <c r="P132" s="108"/>
      <c r="Q132" s="108"/>
      <c r="R132" s="108"/>
      <c r="S132" s="108"/>
      <c r="T132" s="108"/>
      <c r="U132" s="109"/>
    </row>
    <row r="135" spans="1:21" x14ac:dyDescent="0.25">
      <c r="B135" s="103" t="s">
        <v>36</v>
      </c>
      <c r="C135" s="103"/>
      <c r="D135" s="103"/>
      <c r="E135" s="103"/>
      <c r="F135" s="73"/>
      <c r="Q135" s="20"/>
      <c r="U135" s="19"/>
    </row>
    <row r="136" spans="1:21" x14ac:dyDescent="0.25">
      <c r="B136" t="s">
        <v>0</v>
      </c>
      <c r="D136" t="s">
        <v>32</v>
      </c>
      <c r="E136">
        <v>67274.375</v>
      </c>
      <c r="G136">
        <f>E136/10.7639</f>
        <v>6250</v>
      </c>
      <c r="H136" t="s">
        <v>37</v>
      </c>
    </row>
    <row r="137" spans="1:21" x14ac:dyDescent="0.25">
      <c r="B137" t="s">
        <v>1</v>
      </c>
      <c r="D137" t="s">
        <v>33</v>
      </c>
      <c r="E137">
        <f>E136/8</f>
        <v>8409.296875</v>
      </c>
      <c r="P137" t="s">
        <v>38</v>
      </c>
      <c r="Q137" s="4">
        <v>1034058218.0338244</v>
      </c>
      <c r="U137" s="1"/>
    </row>
    <row r="138" spans="1:21" x14ac:dyDescent="0.25">
      <c r="B138" t="s">
        <v>2</v>
      </c>
      <c r="D138" t="s">
        <v>34</v>
      </c>
      <c r="E138">
        <f>E137/3.28</f>
        <v>2563.8100228658536</v>
      </c>
    </row>
    <row r="139" spans="1:21" x14ac:dyDescent="0.25">
      <c r="D139" t="s">
        <v>35</v>
      </c>
      <c r="E139" s="4">
        <f>E138*1500</f>
        <v>3845715.0342987804</v>
      </c>
      <c r="F139" s="4"/>
      <c r="Q139" s="1">
        <f>(U126-Q137)/Q137</f>
        <v>-0.44082978643921739</v>
      </c>
    </row>
    <row r="150" spans="7:10" x14ac:dyDescent="0.25">
      <c r="G150" s="99" t="s">
        <v>267</v>
      </c>
      <c r="J150">
        <f ca="1">G150:J150</f>
        <v>0</v>
      </c>
    </row>
  </sheetData>
  <mergeCells count="11">
    <mergeCell ref="A128:U128"/>
    <mergeCell ref="E2:M2"/>
    <mergeCell ref="A4:U4"/>
    <mergeCell ref="A126:D126"/>
    <mergeCell ref="H126:P126"/>
    <mergeCell ref="A127:U127"/>
    <mergeCell ref="A129:U129"/>
    <mergeCell ref="A130:U130"/>
    <mergeCell ref="A131:U131"/>
    <mergeCell ref="A132:U132"/>
    <mergeCell ref="B135:E135"/>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7:U24"/>
  <sheetViews>
    <sheetView topLeftCell="D1" zoomScaleNormal="100" workbookViewId="0">
      <selection activeCell="J29" sqref="J29"/>
    </sheetView>
  </sheetViews>
  <sheetFormatPr defaultRowHeight="15" x14ac:dyDescent="0.25"/>
  <cols>
    <col min="5" max="5" width="44.140625" bestFit="1" customWidth="1"/>
    <col min="6" max="6" width="26" bestFit="1" customWidth="1"/>
    <col min="7" max="7" width="12" bestFit="1" customWidth="1"/>
    <col min="10" max="10" width="7.7109375" bestFit="1" customWidth="1"/>
    <col min="14" max="14" width="14.28515625" bestFit="1" customWidth="1"/>
  </cols>
  <sheetData>
    <row r="7" spans="5:21" ht="18.75" x14ac:dyDescent="0.25">
      <c r="E7" s="42" t="s">
        <v>192</v>
      </c>
      <c r="G7" s="41"/>
      <c r="J7" s="43"/>
    </row>
    <row r="8" spans="5:21" ht="16.5" thickBot="1" x14ac:dyDescent="0.3">
      <c r="E8" s="44"/>
      <c r="G8" s="41"/>
    </row>
    <row r="9" spans="5:21" x14ac:dyDescent="0.25">
      <c r="E9" s="45">
        <v>1</v>
      </c>
      <c r="F9" s="46" t="s">
        <v>193</v>
      </c>
      <c r="G9" s="47">
        <v>43350</v>
      </c>
      <c r="H9" s="46"/>
      <c r="I9" s="46"/>
      <c r="J9" s="48"/>
      <c r="O9" s="103"/>
      <c r="P9" s="103"/>
      <c r="Q9" s="103"/>
      <c r="R9" s="103"/>
      <c r="S9" s="103"/>
      <c r="T9" s="103"/>
      <c r="U9" s="103"/>
    </row>
    <row r="10" spans="5:21" x14ac:dyDescent="0.25">
      <c r="E10" s="49">
        <v>2</v>
      </c>
      <c r="F10" s="50" t="s">
        <v>194</v>
      </c>
      <c r="G10" s="51">
        <v>20457</v>
      </c>
      <c r="H10" s="50"/>
      <c r="I10" s="50"/>
      <c r="J10" s="52"/>
    </row>
    <row r="11" spans="5:21" x14ac:dyDescent="0.25">
      <c r="E11" s="49">
        <v>3</v>
      </c>
      <c r="F11" s="50" t="s">
        <v>195</v>
      </c>
      <c r="G11" s="51">
        <v>10200</v>
      </c>
      <c r="H11" s="50"/>
      <c r="I11" s="50"/>
      <c r="J11" s="52"/>
    </row>
    <row r="12" spans="5:21" x14ac:dyDescent="0.25">
      <c r="E12" s="49">
        <v>4</v>
      </c>
      <c r="F12" s="50" t="s">
        <v>196</v>
      </c>
      <c r="G12" s="51">
        <v>16800</v>
      </c>
      <c r="H12" s="50"/>
      <c r="I12" s="50"/>
      <c r="J12" s="52"/>
    </row>
    <row r="13" spans="5:21" x14ac:dyDescent="0.25">
      <c r="E13" s="49">
        <v>5</v>
      </c>
      <c r="F13" s="50"/>
      <c r="G13" s="51"/>
      <c r="H13" s="50"/>
      <c r="I13" s="50"/>
      <c r="J13" s="52"/>
    </row>
    <row r="14" spans="5:21" ht="16.5" thickBot="1" x14ac:dyDescent="0.3">
      <c r="E14" s="53"/>
      <c r="F14" s="54"/>
      <c r="G14" s="55">
        <f>SUM(G9:G13)</f>
        <v>90807</v>
      </c>
      <c r="H14" s="54"/>
      <c r="I14" s="54"/>
      <c r="J14" s="56">
        <v>90807</v>
      </c>
    </row>
    <row r="15" spans="5:21" x14ac:dyDescent="0.25">
      <c r="E15" s="41"/>
      <c r="G15" s="41"/>
    </row>
    <row r="16" spans="5:21" ht="15.75" x14ac:dyDescent="0.25">
      <c r="E16" s="42" t="s">
        <v>197</v>
      </c>
      <c r="G16" s="57" t="s">
        <v>198</v>
      </c>
      <c r="N16" s="62"/>
    </row>
    <row r="17" spans="5:7" ht="15.75" x14ac:dyDescent="0.25">
      <c r="E17" s="42"/>
      <c r="F17" s="58" t="s">
        <v>199</v>
      </c>
      <c r="G17" s="41"/>
    </row>
    <row r="18" spans="5:7" x14ac:dyDescent="0.25">
      <c r="E18" s="41"/>
      <c r="F18" t="s">
        <v>200</v>
      </c>
      <c r="G18" s="41"/>
    </row>
    <row r="19" spans="5:7" x14ac:dyDescent="0.25">
      <c r="E19" s="41"/>
      <c r="G19" s="41"/>
    </row>
    <row r="20" spans="5:7" ht="15.75" x14ac:dyDescent="0.25">
      <c r="E20" s="42" t="s">
        <v>201</v>
      </c>
      <c r="G20" s="57" t="s">
        <v>202</v>
      </c>
    </row>
    <row r="21" spans="5:7" x14ac:dyDescent="0.25">
      <c r="F21" s="58" t="s">
        <v>203</v>
      </c>
      <c r="G21" s="41"/>
    </row>
    <row r="22" spans="5:7" x14ac:dyDescent="0.25">
      <c r="E22" s="41"/>
      <c r="F22" t="s">
        <v>204</v>
      </c>
      <c r="G22" s="41"/>
    </row>
    <row r="23" spans="5:7" x14ac:dyDescent="0.25">
      <c r="E23" s="41"/>
      <c r="G23" s="41"/>
    </row>
    <row r="24" spans="5:7" x14ac:dyDescent="0.25">
      <c r="E24" s="59" t="s">
        <v>3</v>
      </c>
      <c r="F24" s="60" t="s">
        <v>205</v>
      </c>
      <c r="G24" s="59" t="s">
        <v>206</v>
      </c>
    </row>
  </sheetData>
  <mergeCells count="1">
    <mergeCell ref="O9:U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N15"/>
  <sheetViews>
    <sheetView topLeftCell="B1" workbookViewId="0">
      <selection activeCell="H11" sqref="H11"/>
    </sheetView>
  </sheetViews>
  <sheetFormatPr defaultRowHeight="15" x14ac:dyDescent="0.25"/>
  <cols>
    <col min="3" max="3" width="5.42578125" customWidth="1"/>
    <col min="4" max="4" width="20.28515625" customWidth="1"/>
    <col min="5" max="5" width="8.85546875" customWidth="1"/>
    <col min="6" max="6" width="12.28515625" customWidth="1"/>
    <col min="7" max="7" width="15.28515625" bestFit="1" customWidth="1"/>
    <col min="8" max="8" width="21.5703125" bestFit="1" customWidth="1"/>
    <col min="10" max="10" width="17.42578125" bestFit="1" customWidth="1"/>
    <col min="11" max="11" width="11.28515625" bestFit="1" customWidth="1"/>
    <col min="13" max="13" width="18.42578125" bestFit="1" customWidth="1"/>
  </cols>
  <sheetData>
    <row r="4" spans="3:14" ht="14.45" customHeight="1" x14ac:dyDescent="0.25">
      <c r="C4" s="120" t="str">
        <f>UPPER("Valuation of other Civil Works at PLOT NO. C-1, JK TYRE, BANMORE INDUSTRIAL AREA, MORENA")</f>
        <v>VALUATION OF OTHER CIVIL WORKS AT PLOT NO. C-1, JK TYRE, BANMORE INDUSTRIAL AREA, MORENA</v>
      </c>
      <c r="D4" s="121"/>
      <c r="E4" s="121"/>
      <c r="F4" s="121"/>
      <c r="G4" s="121"/>
      <c r="H4" s="121"/>
    </row>
    <row r="5" spans="3:14" x14ac:dyDescent="0.25">
      <c r="C5" s="122"/>
      <c r="D5" s="123"/>
      <c r="E5" s="123"/>
      <c r="F5" s="123"/>
      <c r="G5" s="123"/>
      <c r="H5" s="123"/>
    </row>
    <row r="6" spans="3:14" ht="45" x14ac:dyDescent="0.25">
      <c r="C6" s="63" t="s">
        <v>208</v>
      </c>
      <c r="D6" s="64" t="s">
        <v>209</v>
      </c>
      <c r="E6" s="64" t="s">
        <v>264</v>
      </c>
      <c r="F6" s="64" t="s">
        <v>210</v>
      </c>
      <c r="G6" s="64" t="s">
        <v>265</v>
      </c>
      <c r="H6" s="64" t="s">
        <v>211</v>
      </c>
    </row>
    <row r="7" spans="3:14" ht="30" x14ac:dyDescent="0.25">
      <c r="C7" s="11">
        <v>1</v>
      </c>
      <c r="D7" s="8" t="s">
        <v>212</v>
      </c>
      <c r="E7" s="30">
        <v>0</v>
      </c>
      <c r="F7" s="11">
        <v>3147</v>
      </c>
      <c r="G7" s="65">
        <v>1600</v>
      </c>
      <c r="H7" s="66">
        <f>G7*F7</f>
        <v>5035200</v>
      </c>
    </row>
    <row r="8" spans="3:14" ht="30" x14ac:dyDescent="0.25">
      <c r="C8" s="11">
        <v>2</v>
      </c>
      <c r="D8" s="8" t="s">
        <v>214</v>
      </c>
      <c r="E8" s="30">
        <v>0</v>
      </c>
      <c r="F8" s="11">
        <v>3840</v>
      </c>
      <c r="G8" s="65">
        <v>1600</v>
      </c>
      <c r="H8" s="66">
        <f>G8*F8</f>
        <v>6144000</v>
      </c>
      <c r="K8" s="62"/>
    </row>
    <row r="9" spans="3:14" ht="30" x14ac:dyDescent="0.25">
      <c r="C9" s="11">
        <v>3</v>
      </c>
      <c r="D9" s="8" t="s">
        <v>262</v>
      </c>
      <c r="E9" s="11">
        <f>'Ancillary details'!G11</f>
        <v>10200</v>
      </c>
      <c r="F9" s="30">
        <v>0</v>
      </c>
      <c r="G9" s="65">
        <v>1500</v>
      </c>
      <c r="H9" s="66">
        <f>G9*E9</f>
        <v>15300000</v>
      </c>
      <c r="I9" s="71"/>
      <c r="J9" s="2"/>
      <c r="K9" s="71"/>
    </row>
    <row r="10" spans="3:14" ht="30" x14ac:dyDescent="0.25">
      <c r="C10" s="11">
        <v>4</v>
      </c>
      <c r="D10" s="8" t="s">
        <v>263</v>
      </c>
      <c r="E10" s="11">
        <f>'Ancillary details'!G10</f>
        <v>20457</v>
      </c>
      <c r="F10" s="30">
        <v>0</v>
      </c>
      <c r="G10" s="65">
        <v>2000</v>
      </c>
      <c r="H10" s="66">
        <f>G10*E10</f>
        <v>40914000</v>
      </c>
      <c r="I10" s="71"/>
      <c r="J10" s="2"/>
      <c r="K10" s="71"/>
    </row>
    <row r="11" spans="3:14" x14ac:dyDescent="0.25">
      <c r="C11" s="117" t="s">
        <v>4</v>
      </c>
      <c r="D11" s="117"/>
      <c r="E11" s="117"/>
      <c r="F11" s="67"/>
      <c r="G11" s="67"/>
      <c r="H11" s="68">
        <f>SUM(H7:H10)</f>
        <v>67393200</v>
      </c>
      <c r="N11" s="69"/>
    </row>
    <row r="12" spans="3:14" x14ac:dyDescent="0.25">
      <c r="C12" s="118" t="s">
        <v>213</v>
      </c>
      <c r="D12" s="118"/>
      <c r="E12" s="118"/>
      <c r="F12" s="118"/>
      <c r="G12" s="118"/>
      <c r="H12" s="118"/>
    </row>
    <row r="13" spans="3:14" ht="63.75" customHeight="1" x14ac:dyDescent="0.25">
      <c r="C13" s="119" t="s">
        <v>261</v>
      </c>
      <c r="D13" s="119"/>
      <c r="E13" s="119"/>
      <c r="F13" s="119"/>
      <c r="G13" s="119"/>
      <c r="H13" s="119"/>
      <c r="K13" s="69" t="e">
        <f>SUM(#REF!)</f>
        <v>#REF!</v>
      </c>
      <c r="M13" s="70">
        <f>'BD-2'!U126+'ancillary infra valuation'!H11</f>
        <v>645607754.61225593</v>
      </c>
    </row>
    <row r="14" spans="3:14" ht="33" customHeight="1" x14ac:dyDescent="0.25">
      <c r="C14" s="116" t="s">
        <v>266</v>
      </c>
      <c r="D14" s="116"/>
      <c r="E14" s="116"/>
      <c r="F14" s="116"/>
      <c r="G14" s="116"/>
      <c r="H14" s="116">
        <f>H8/12</f>
        <v>512000</v>
      </c>
    </row>
    <row r="15" spans="3:14" x14ac:dyDescent="0.25">
      <c r="J15" s="70">
        <f>[1]Sheet2!L28+[1]Sheet2!H9</f>
        <v>24032079</v>
      </c>
    </row>
  </sheetData>
  <mergeCells count="5">
    <mergeCell ref="C14:H14"/>
    <mergeCell ref="C11:E11"/>
    <mergeCell ref="C12:H12"/>
    <mergeCell ref="C13:H13"/>
    <mergeCell ref="C4:H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V20"/>
  <sheetViews>
    <sheetView tabSelected="1" zoomScale="70" zoomScaleNormal="70" workbookViewId="0">
      <selection activeCell="B16" sqref="B16:V16"/>
    </sheetView>
  </sheetViews>
  <sheetFormatPr defaultRowHeight="15" x14ac:dyDescent="0.25"/>
  <cols>
    <col min="8" max="8" width="28.85546875" customWidth="1"/>
    <col min="9" max="9" width="9.140625" customWidth="1"/>
    <col min="10" max="10" width="13.5703125" customWidth="1"/>
    <col min="11" max="11" width="20.5703125" hidden="1" customWidth="1"/>
    <col min="12" max="12" width="0.85546875" hidden="1" customWidth="1"/>
    <col min="13" max="22" width="8.85546875" hidden="1" customWidth="1"/>
  </cols>
  <sheetData>
    <row r="4" spans="2:22" x14ac:dyDescent="0.25">
      <c r="C4" t="s">
        <v>7</v>
      </c>
    </row>
    <row r="16" spans="2:22" x14ac:dyDescent="0.25">
      <c r="B16" s="102" t="s">
        <v>26</v>
      </c>
      <c r="C16" s="102"/>
      <c r="D16" s="102"/>
      <c r="E16" s="102"/>
      <c r="F16" s="102"/>
      <c r="G16" s="102"/>
      <c r="H16" s="102"/>
      <c r="I16" s="102"/>
      <c r="J16" s="102"/>
      <c r="K16" s="102"/>
      <c r="L16" s="102"/>
      <c r="M16" s="102"/>
      <c r="N16" s="102"/>
      <c r="O16" s="102"/>
      <c r="P16" s="102"/>
      <c r="Q16" s="102"/>
      <c r="R16" s="102"/>
      <c r="S16" s="102"/>
      <c r="T16" s="102"/>
      <c r="U16" s="102"/>
      <c r="V16" s="102"/>
    </row>
    <row r="17" spans="2:22" ht="40.15" customHeight="1" x14ac:dyDescent="0.25">
      <c r="B17" s="116" t="s">
        <v>39</v>
      </c>
      <c r="C17" s="116"/>
      <c r="D17" s="116"/>
      <c r="E17" s="116"/>
      <c r="F17" s="116"/>
      <c r="G17" s="116"/>
      <c r="H17" s="116"/>
      <c r="I17" s="116"/>
      <c r="J17" s="116"/>
      <c r="K17" s="116"/>
      <c r="L17" s="116"/>
      <c r="M17" s="116"/>
      <c r="N17" s="116"/>
      <c r="O17" s="116"/>
      <c r="P17" s="116"/>
      <c r="Q17" s="116"/>
      <c r="R17" s="116"/>
      <c r="S17" s="116"/>
      <c r="T17" s="116"/>
      <c r="U17" s="116"/>
      <c r="V17" s="116"/>
    </row>
    <row r="18" spans="2:22" ht="31.9" customHeight="1" x14ac:dyDescent="0.25">
      <c r="B18" s="116" t="s">
        <v>259</v>
      </c>
      <c r="C18" s="116"/>
      <c r="D18" s="116"/>
      <c r="E18" s="116"/>
      <c r="F18" s="116"/>
      <c r="G18" s="116"/>
      <c r="H18" s="116"/>
      <c r="I18" s="116"/>
      <c r="J18" s="116"/>
      <c r="K18" s="116"/>
      <c r="L18" s="116"/>
      <c r="M18" s="116"/>
      <c r="N18" s="116"/>
      <c r="O18" s="116"/>
      <c r="P18" s="116"/>
      <c r="Q18" s="116"/>
      <c r="R18" s="116"/>
      <c r="S18" s="116"/>
      <c r="T18" s="116"/>
      <c r="U18" s="116"/>
      <c r="V18" s="116"/>
    </row>
    <row r="19" spans="2:22" ht="40.15" customHeight="1" x14ac:dyDescent="0.25">
      <c r="B19" s="116" t="s">
        <v>260</v>
      </c>
      <c r="C19" s="116"/>
      <c r="D19" s="116"/>
      <c r="E19" s="116"/>
      <c r="F19" s="116"/>
      <c r="G19" s="116"/>
      <c r="H19" s="116"/>
      <c r="I19" s="116"/>
      <c r="J19" s="116"/>
      <c r="K19" s="116"/>
      <c r="L19" s="116"/>
      <c r="M19" s="116"/>
      <c r="N19" s="116"/>
      <c r="O19" s="116"/>
      <c r="P19" s="116"/>
      <c r="Q19" s="116"/>
      <c r="R19" s="116"/>
      <c r="S19" s="116"/>
      <c r="T19" s="116"/>
      <c r="U19" s="116"/>
      <c r="V19" s="116"/>
    </row>
    <row r="20" spans="2:22" ht="31.9" customHeight="1" x14ac:dyDescent="0.25">
      <c r="B20" s="116" t="s">
        <v>29</v>
      </c>
      <c r="C20" s="116"/>
      <c r="D20" s="116"/>
      <c r="E20" s="116"/>
      <c r="F20" s="116"/>
      <c r="G20" s="116"/>
      <c r="H20" s="116"/>
      <c r="I20" s="116"/>
      <c r="J20" s="116"/>
      <c r="K20" s="116"/>
      <c r="L20" s="116"/>
      <c r="M20" s="116"/>
      <c r="N20" s="116"/>
      <c r="O20" s="116"/>
      <c r="P20" s="116"/>
      <c r="Q20" s="116"/>
      <c r="R20" s="116"/>
      <c r="S20" s="116"/>
      <c r="T20" s="116"/>
      <c r="U20" s="116"/>
      <c r="V20" s="116"/>
    </row>
  </sheetData>
  <mergeCells count="5">
    <mergeCell ref="B20:V20"/>
    <mergeCell ref="B16:V16"/>
    <mergeCell ref="B17:V17"/>
    <mergeCell ref="B18:V18"/>
    <mergeCell ref="B19:V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Land</vt:lpstr>
      <vt:lpstr>BD SHEET FROM COMPANY</vt:lpstr>
      <vt:lpstr>Sheet3</vt:lpstr>
      <vt:lpstr>building rates</vt:lpstr>
      <vt:lpstr>building valuation</vt:lpstr>
      <vt:lpstr>BD-2</vt:lpstr>
      <vt:lpstr>Ancillary details</vt:lpstr>
      <vt:lpstr>ancillary infra valuation</vt:lpstr>
      <vt:lpstr>Remarks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Chetan Gajanan Mahadik</dc:creator>
  <cp:lastModifiedBy>Abhishek Sharma</cp:lastModifiedBy>
  <cp:lastPrinted>2022-06-08T05:14:18Z</cp:lastPrinted>
  <dcterms:created xsi:type="dcterms:W3CDTF">2021-02-13T09:48:30Z</dcterms:created>
  <dcterms:modified xsi:type="dcterms:W3CDTF">2022-06-29T07:52:33Z</dcterms:modified>
</cp:coreProperties>
</file>