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abul\Edit\PreparerReport\"/>
    </mc:Choice>
  </mc:AlternateContent>
  <bookViews>
    <workbookView xWindow="0" yWindow="0" windowWidth="21600" windowHeight="9735" firstSheet="4" activeTab="7"/>
  </bookViews>
  <sheets>
    <sheet name="Land working" sheetId="7" r:id="rId1"/>
    <sheet name="Sheet3" sheetId="10" r:id="rId2"/>
    <sheet name="Circle rate calculation" sheetId="12" r:id="rId3"/>
    <sheet name="PlantBuildings floor area &amp; ht " sheetId="3" r:id="rId4"/>
    <sheet name="Plant building working " sheetId="5" r:id="rId5"/>
    <sheet name="Township Building s" sheetId="4" r:id="rId6"/>
    <sheet name="Township building working " sheetId="6" r:id="rId7"/>
    <sheet name="Summary " sheetId="11" r:id="rId8"/>
  </sheets>
  <externalReferences>
    <externalReference r:id="rId9"/>
  </externalReferences>
  <definedNames>
    <definedName name="\0">#REF!</definedName>
    <definedName name="\A">'[1]old costcentre salary &amp; wages'!#REF!</definedName>
    <definedName name="\m">#REF!</definedName>
    <definedName name="_1P">#REF!</definedName>
    <definedName name="_2P">#REF!</definedName>
    <definedName name="_3P">#REF!</definedName>
    <definedName name="_Fill" hidden="1">#REF!</definedName>
    <definedName name="_xlnm._FilterDatabase" localSheetId="0" hidden="1">'Land working'!$C$6:$N$17</definedName>
    <definedName name="_Parse_Out" hidden="1">#REF!</definedName>
    <definedName name="_xlcn.WorksheetConnection_LandworkingC15J251" hidden="1">'Land working'!$C$6:$N$16</definedName>
    <definedName name="aaa">#REF!</definedName>
    <definedName name="AD357a291">#REF!</definedName>
    <definedName name="AREA">#REF!</definedName>
    <definedName name="C_">#REF!</definedName>
    <definedName name="MENU">#REF!</definedName>
    <definedName name="_xlnm.Print_Area">#REF!</definedName>
    <definedName name="Print_Area_MI">#REF!</definedName>
  </definedNames>
  <calcPr calcId="152511"/>
  <pivotCaches>
    <pivotCache cacheId="0" r:id="rId10"/>
  </pivotCaches>
  <extLst>
    <ext xmlns:x15="http://schemas.microsoft.com/office/spreadsheetml/2010/11/main" uri="{FCE2AD5D-F65C-4FA6-A056-5C36A1767C68}">
      <x15:dataModel>
        <x15:modelTables>
          <x15:modelTable id="Range-74a3d3da-c1e6-4e55-a37a-5c0344e5d9ec" name="Range" connection="WorksheetConnection_Land working!$C$15:$J$25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1" l="1"/>
  <c r="D19" i="11"/>
  <c r="D15" i="11"/>
  <c r="Q5" i="5"/>
  <c r="U5" i="5"/>
  <c r="S39" i="6"/>
  <c r="Q24" i="7"/>
  <c r="Q25" i="7"/>
  <c r="Q23" i="7"/>
  <c r="N26" i="7"/>
  <c r="N24" i="7"/>
  <c r="N25" i="7"/>
  <c r="N23" i="7"/>
  <c r="P23" i="7" s="1"/>
  <c r="E26" i="7" l="1"/>
  <c r="G24" i="7"/>
  <c r="P24" i="7" s="1"/>
  <c r="G25" i="7"/>
  <c r="P25" i="7" s="1"/>
  <c r="G23" i="7"/>
  <c r="G26" i="7" l="1"/>
  <c r="D6" i="12"/>
  <c r="F6" i="12"/>
  <c r="D7" i="12"/>
  <c r="F7" i="12"/>
  <c r="D8" i="12"/>
  <c r="F8" i="12"/>
  <c r="Q17" i="7"/>
  <c r="F7" i="11"/>
  <c r="F6" i="11"/>
  <c r="F8" i="11" s="1"/>
  <c r="I7" i="11"/>
  <c r="I6" i="11"/>
  <c r="H7" i="11"/>
  <c r="H6" i="11"/>
  <c r="P26" i="7" l="1"/>
  <c r="G8" i="12"/>
  <c r="K8" i="12" s="1"/>
  <c r="G7" i="12"/>
  <c r="K7" i="12" s="1"/>
  <c r="G6" i="12"/>
  <c r="H6" i="12" s="1"/>
  <c r="G7" i="11"/>
  <c r="J7" i="11" s="1"/>
  <c r="E7" i="11"/>
  <c r="I8" i="11"/>
  <c r="H8" i="11"/>
  <c r="E6" i="11"/>
  <c r="E8" i="11" s="1"/>
  <c r="H8" i="12" l="1"/>
  <c r="H7" i="12"/>
  <c r="K6" i="12"/>
  <c r="K9" i="12" s="1"/>
  <c r="G9" i="12"/>
  <c r="H9" i="12"/>
  <c r="J13" i="7" l="1"/>
  <c r="J16" i="7"/>
  <c r="L7" i="7"/>
  <c r="J7" i="7" s="1"/>
  <c r="L15" i="7" l="1"/>
  <c r="J15" i="7" s="1"/>
  <c r="L8" i="7"/>
  <c r="J8" i="7" s="1"/>
  <c r="L9" i="7"/>
  <c r="J9" i="7" s="1"/>
  <c r="L10" i="7"/>
  <c r="J10" i="7" s="1"/>
  <c r="L11" i="7"/>
  <c r="J11" i="7" s="1"/>
  <c r="L12" i="7"/>
  <c r="J12" i="7" s="1"/>
  <c r="L24" i="7"/>
  <c r="N16" i="7"/>
  <c r="N13" i="7"/>
  <c r="L14" i="7"/>
  <c r="N14" i="7" l="1"/>
  <c r="N17" i="7" s="1"/>
  <c r="J14" i="7"/>
  <c r="G44" i="6"/>
  <c r="G43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H44" i="6"/>
  <c r="S44" i="6" s="1"/>
  <c r="H43" i="6"/>
  <c r="I43" i="6" s="1"/>
  <c r="H6" i="6"/>
  <c r="I6" i="6" s="1"/>
  <c r="S6" i="6" s="1"/>
  <c r="H7" i="6"/>
  <c r="I7" i="6" s="1"/>
  <c r="S7" i="6" s="1"/>
  <c r="H8" i="6"/>
  <c r="I8" i="6" s="1"/>
  <c r="S8" i="6" s="1"/>
  <c r="H9" i="6"/>
  <c r="I9" i="6" s="1"/>
  <c r="S9" i="6" s="1"/>
  <c r="H10" i="6"/>
  <c r="I10" i="6" s="1"/>
  <c r="S10" i="6" s="1"/>
  <c r="H11" i="6"/>
  <c r="I11" i="6" s="1"/>
  <c r="S11" i="6" s="1"/>
  <c r="H12" i="6"/>
  <c r="I12" i="6" s="1"/>
  <c r="S12" i="6" s="1"/>
  <c r="H13" i="6"/>
  <c r="I13" i="6" s="1"/>
  <c r="S13" i="6" s="1"/>
  <c r="H14" i="6"/>
  <c r="I14" i="6" s="1"/>
  <c r="S14" i="6" s="1"/>
  <c r="H15" i="6"/>
  <c r="I15" i="6" s="1"/>
  <c r="S15" i="6" s="1"/>
  <c r="H16" i="6"/>
  <c r="I16" i="6" s="1"/>
  <c r="S16" i="6" s="1"/>
  <c r="H17" i="6"/>
  <c r="I17" i="6" s="1"/>
  <c r="S17" i="6" s="1"/>
  <c r="H18" i="6"/>
  <c r="I18" i="6" s="1"/>
  <c r="S18" i="6" s="1"/>
  <c r="H19" i="6"/>
  <c r="I19" i="6" s="1"/>
  <c r="S19" i="6" s="1"/>
  <c r="H20" i="6"/>
  <c r="I20" i="6" s="1"/>
  <c r="S20" i="6" s="1"/>
  <c r="H21" i="6"/>
  <c r="I21" i="6" s="1"/>
  <c r="S21" i="6" s="1"/>
  <c r="H22" i="6"/>
  <c r="I22" i="6" s="1"/>
  <c r="S22" i="6" s="1"/>
  <c r="H23" i="6"/>
  <c r="I23" i="6" s="1"/>
  <c r="S23" i="6" s="1"/>
  <c r="H24" i="6"/>
  <c r="I24" i="6" s="1"/>
  <c r="S24" i="6" s="1"/>
  <c r="H25" i="6"/>
  <c r="I25" i="6" s="1"/>
  <c r="S25" i="6" s="1"/>
  <c r="H26" i="6"/>
  <c r="I26" i="6" s="1"/>
  <c r="S26" i="6" s="1"/>
  <c r="H27" i="6"/>
  <c r="I27" i="6" s="1"/>
  <c r="S27" i="6" s="1"/>
  <c r="H28" i="6"/>
  <c r="I28" i="6" s="1"/>
  <c r="S28" i="6" s="1"/>
  <c r="H29" i="6"/>
  <c r="I29" i="6" s="1"/>
  <c r="S29" i="6" s="1"/>
  <c r="H30" i="6"/>
  <c r="I30" i="6" s="1"/>
  <c r="S30" i="6" s="1"/>
  <c r="H31" i="6"/>
  <c r="I31" i="6" s="1"/>
  <c r="S31" i="6" s="1"/>
  <c r="H32" i="6"/>
  <c r="I32" i="6" s="1"/>
  <c r="S32" i="6" s="1"/>
  <c r="H34" i="6"/>
  <c r="I34" i="6" s="1"/>
  <c r="S34" i="6" s="1"/>
  <c r="H36" i="6"/>
  <c r="I36" i="6" s="1"/>
  <c r="S36" i="6" s="1"/>
  <c r="H37" i="6"/>
  <c r="I37" i="6" s="1"/>
  <c r="S37" i="6" s="1"/>
  <c r="H38" i="6"/>
  <c r="I38" i="6" s="1"/>
  <c r="S38" i="6" s="1"/>
  <c r="H40" i="6"/>
  <c r="I40" i="6" s="1"/>
  <c r="S40" i="6" s="1"/>
  <c r="H41" i="6"/>
  <c r="I41" i="6" s="1"/>
  <c r="S41" i="6" s="1"/>
  <c r="H42" i="6"/>
  <c r="I42" i="6" s="1"/>
  <c r="S42" i="6" s="1"/>
  <c r="H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5" i="6"/>
  <c r="G39" i="6"/>
  <c r="H39" i="6" s="1"/>
  <c r="I39" i="6" s="1"/>
  <c r="G35" i="6"/>
  <c r="H35" i="6" s="1"/>
  <c r="I35" i="6" s="1"/>
  <c r="S35" i="6" s="1"/>
  <c r="G33" i="6"/>
  <c r="H33" i="6" s="1"/>
  <c r="I33" i="6" s="1"/>
  <c r="S33" i="6" s="1"/>
  <c r="Q5" i="6"/>
  <c r="N5" i="6"/>
  <c r="I5" i="6"/>
  <c r="S5" i="6" s="1"/>
  <c r="S43" i="6" l="1"/>
  <c r="T44" i="6"/>
  <c r="U44" i="6" s="1"/>
  <c r="W44" i="6" s="1"/>
  <c r="I44" i="6"/>
  <c r="I45" i="6" s="1"/>
  <c r="T41" i="6"/>
  <c r="U41" i="6" s="1"/>
  <c r="W41" i="6" s="1"/>
  <c r="T37" i="6"/>
  <c r="U37" i="6" s="1"/>
  <c r="W37" i="6" s="1"/>
  <c r="T33" i="6"/>
  <c r="U33" i="6" s="1"/>
  <c r="W33" i="6" s="1"/>
  <c r="T29" i="6"/>
  <c r="U29" i="6" s="1"/>
  <c r="W29" i="6" s="1"/>
  <c r="T25" i="6"/>
  <c r="U25" i="6" s="1"/>
  <c r="W25" i="6" s="1"/>
  <c r="T21" i="6"/>
  <c r="U21" i="6" s="1"/>
  <c r="W21" i="6" s="1"/>
  <c r="T17" i="6"/>
  <c r="U17" i="6" s="1"/>
  <c r="W17" i="6" s="1"/>
  <c r="T13" i="6"/>
  <c r="U13" i="6" s="1"/>
  <c r="W13" i="6" s="1"/>
  <c r="T9" i="6"/>
  <c r="U9" i="6" s="1"/>
  <c r="W9" i="6" s="1"/>
  <c r="T42" i="6"/>
  <c r="U42" i="6" s="1"/>
  <c r="W42" i="6" s="1"/>
  <c r="T40" i="6"/>
  <c r="U40" i="6" s="1"/>
  <c r="W40" i="6" s="1"/>
  <c r="T38" i="6"/>
  <c r="U38" i="6" s="1"/>
  <c r="W38" i="6" s="1"/>
  <c r="T36" i="6"/>
  <c r="U36" i="6" s="1"/>
  <c r="W36" i="6" s="1"/>
  <c r="T34" i="6"/>
  <c r="U34" i="6" s="1"/>
  <c r="W34" i="6" s="1"/>
  <c r="T32" i="6"/>
  <c r="U32" i="6" s="1"/>
  <c r="W32" i="6" s="1"/>
  <c r="T30" i="6"/>
  <c r="U30" i="6" s="1"/>
  <c r="W30" i="6" s="1"/>
  <c r="T28" i="6"/>
  <c r="U28" i="6" s="1"/>
  <c r="W28" i="6" s="1"/>
  <c r="T26" i="6"/>
  <c r="U26" i="6" s="1"/>
  <c r="W26" i="6" s="1"/>
  <c r="T24" i="6"/>
  <c r="U24" i="6" s="1"/>
  <c r="W24" i="6" s="1"/>
  <c r="T22" i="6"/>
  <c r="U22" i="6" s="1"/>
  <c r="W22" i="6" s="1"/>
  <c r="T20" i="6"/>
  <c r="U20" i="6" s="1"/>
  <c r="W20" i="6" s="1"/>
  <c r="T18" i="6"/>
  <c r="U18" i="6" s="1"/>
  <c r="W18" i="6" s="1"/>
  <c r="T16" i="6"/>
  <c r="U16" i="6" s="1"/>
  <c r="W16" i="6" s="1"/>
  <c r="T14" i="6"/>
  <c r="U14" i="6" s="1"/>
  <c r="W14" i="6" s="1"/>
  <c r="T12" i="6"/>
  <c r="U12" i="6" s="1"/>
  <c r="W12" i="6" s="1"/>
  <c r="T10" i="6"/>
  <c r="U10" i="6" s="1"/>
  <c r="W10" i="6" s="1"/>
  <c r="T8" i="6"/>
  <c r="U8" i="6" s="1"/>
  <c r="W8" i="6" s="1"/>
  <c r="T6" i="6"/>
  <c r="U6" i="6" s="1"/>
  <c r="W6" i="6" s="1"/>
  <c r="T39" i="6"/>
  <c r="U39" i="6" s="1"/>
  <c r="W39" i="6" s="1"/>
  <c r="T35" i="6"/>
  <c r="U35" i="6" s="1"/>
  <c r="W35" i="6" s="1"/>
  <c r="T31" i="6"/>
  <c r="U31" i="6" s="1"/>
  <c r="W31" i="6" s="1"/>
  <c r="T27" i="6"/>
  <c r="U27" i="6" s="1"/>
  <c r="W27" i="6" s="1"/>
  <c r="T23" i="6"/>
  <c r="U23" i="6" s="1"/>
  <c r="W23" i="6" s="1"/>
  <c r="T19" i="6"/>
  <c r="U19" i="6" s="1"/>
  <c r="W19" i="6" s="1"/>
  <c r="T15" i="6"/>
  <c r="U15" i="6" s="1"/>
  <c r="W15" i="6" s="1"/>
  <c r="T11" i="6"/>
  <c r="U11" i="6" s="1"/>
  <c r="W11" i="6" s="1"/>
  <c r="T7" i="6"/>
  <c r="U7" i="6" s="1"/>
  <c r="W7" i="6" s="1"/>
  <c r="T43" i="6"/>
  <c r="U43" i="6" s="1"/>
  <c r="W43" i="6" s="1"/>
  <c r="T5" i="6"/>
  <c r="U5" i="6" s="1"/>
  <c r="W5" i="6" s="1"/>
  <c r="W45" i="6" l="1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" i="5"/>
  <c r="O6" i="5"/>
  <c r="O7" i="5"/>
  <c r="O8" i="5"/>
  <c r="O9" i="5"/>
  <c r="O10" i="5"/>
  <c r="O11" i="5"/>
  <c r="O12" i="5"/>
  <c r="O13" i="5"/>
  <c r="O14" i="5"/>
  <c r="O15" i="5"/>
  <c r="O16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L6" i="5"/>
  <c r="L7" i="5"/>
  <c r="L8" i="5"/>
  <c r="L9" i="5"/>
  <c r="L10" i="5"/>
  <c r="L11" i="5"/>
  <c r="L12" i="5"/>
  <c r="L13" i="5"/>
  <c r="L14" i="5"/>
  <c r="L15" i="5"/>
  <c r="L16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G17" i="5"/>
  <c r="Q17" i="5" s="1"/>
  <c r="G48" i="5"/>
  <c r="Q48" i="5" s="1"/>
  <c r="G49" i="5"/>
  <c r="Q49" i="5" s="1"/>
  <c r="F56" i="5"/>
  <c r="G56" i="5" s="1"/>
  <c r="Q56" i="5" s="1"/>
  <c r="F55" i="5"/>
  <c r="G55" i="5" s="1"/>
  <c r="Q55" i="5" s="1"/>
  <c r="F54" i="5"/>
  <c r="G54" i="5" s="1"/>
  <c r="Q54" i="5" s="1"/>
  <c r="F53" i="5"/>
  <c r="G53" i="5" s="1"/>
  <c r="Q53" i="5" s="1"/>
  <c r="F52" i="5"/>
  <c r="G52" i="5" s="1"/>
  <c r="Q52" i="5" s="1"/>
  <c r="F51" i="5"/>
  <c r="G51" i="5" s="1"/>
  <c r="Q51" i="5" s="1"/>
  <c r="F50" i="5"/>
  <c r="G50" i="5" s="1"/>
  <c r="Q50" i="5" s="1"/>
  <c r="F47" i="5"/>
  <c r="G47" i="5" s="1"/>
  <c r="Q47" i="5" s="1"/>
  <c r="F46" i="5"/>
  <c r="G46" i="5" s="1"/>
  <c r="Q46" i="5" s="1"/>
  <c r="F45" i="5"/>
  <c r="G45" i="5" s="1"/>
  <c r="Q45" i="5" s="1"/>
  <c r="F44" i="5"/>
  <c r="G44" i="5" s="1"/>
  <c r="Q44" i="5" s="1"/>
  <c r="F43" i="5"/>
  <c r="G43" i="5" s="1"/>
  <c r="Q43" i="5" s="1"/>
  <c r="F42" i="5"/>
  <c r="G42" i="5" s="1"/>
  <c r="Q42" i="5" s="1"/>
  <c r="F41" i="5"/>
  <c r="G41" i="5" s="1"/>
  <c r="Q41" i="5" s="1"/>
  <c r="F40" i="5"/>
  <c r="G40" i="5" s="1"/>
  <c r="Q40" i="5" s="1"/>
  <c r="F39" i="5"/>
  <c r="G39" i="5" s="1"/>
  <c r="Q39" i="5" s="1"/>
  <c r="F38" i="5"/>
  <c r="G38" i="5" s="1"/>
  <c r="Q38" i="5" s="1"/>
  <c r="F37" i="5"/>
  <c r="G37" i="5" s="1"/>
  <c r="Q37" i="5" s="1"/>
  <c r="F36" i="5"/>
  <c r="G36" i="5" s="1"/>
  <c r="Q36" i="5" s="1"/>
  <c r="F35" i="5"/>
  <c r="G35" i="5" s="1"/>
  <c r="Q35" i="5" s="1"/>
  <c r="F34" i="5"/>
  <c r="G34" i="5" s="1"/>
  <c r="Q34" i="5" s="1"/>
  <c r="F33" i="5"/>
  <c r="G33" i="5" s="1"/>
  <c r="Q33" i="5" s="1"/>
  <c r="F32" i="5"/>
  <c r="G32" i="5" s="1"/>
  <c r="Q32" i="5" s="1"/>
  <c r="F31" i="5"/>
  <c r="G31" i="5" s="1"/>
  <c r="Q31" i="5" s="1"/>
  <c r="F30" i="5"/>
  <c r="G30" i="5" s="1"/>
  <c r="Q30" i="5" s="1"/>
  <c r="F29" i="5"/>
  <c r="G29" i="5" s="1"/>
  <c r="Q29" i="5" s="1"/>
  <c r="F28" i="5"/>
  <c r="G28" i="5" s="1"/>
  <c r="Q28" i="5" s="1"/>
  <c r="F27" i="5"/>
  <c r="G27" i="5" s="1"/>
  <c r="Q27" i="5" s="1"/>
  <c r="F26" i="5"/>
  <c r="G26" i="5" s="1"/>
  <c r="Q26" i="5" s="1"/>
  <c r="F25" i="5"/>
  <c r="G25" i="5" s="1"/>
  <c r="Q25" i="5" s="1"/>
  <c r="F24" i="5"/>
  <c r="G24" i="5" s="1"/>
  <c r="Q24" i="5" s="1"/>
  <c r="F23" i="5"/>
  <c r="G23" i="5" s="1"/>
  <c r="Q23" i="5" s="1"/>
  <c r="F22" i="5"/>
  <c r="G22" i="5" s="1"/>
  <c r="Q22" i="5" s="1"/>
  <c r="F21" i="5"/>
  <c r="G21" i="5" s="1"/>
  <c r="Q21" i="5" s="1"/>
  <c r="F20" i="5"/>
  <c r="G20" i="5" s="1"/>
  <c r="Q20" i="5" s="1"/>
  <c r="F19" i="5"/>
  <c r="G19" i="5" s="1"/>
  <c r="Q19" i="5" s="1"/>
  <c r="F18" i="5"/>
  <c r="G18" i="5" s="1"/>
  <c r="Q18" i="5" s="1"/>
  <c r="F16" i="5"/>
  <c r="G16" i="5" s="1"/>
  <c r="Q16" i="5" s="1"/>
  <c r="F15" i="5"/>
  <c r="G15" i="5" s="1"/>
  <c r="Q15" i="5" s="1"/>
  <c r="F14" i="5"/>
  <c r="G14" i="5" s="1"/>
  <c r="Q14" i="5" s="1"/>
  <c r="F13" i="5"/>
  <c r="G13" i="5" s="1"/>
  <c r="Q13" i="5" s="1"/>
  <c r="F12" i="5"/>
  <c r="G12" i="5" s="1"/>
  <c r="Q12" i="5" s="1"/>
  <c r="F11" i="5"/>
  <c r="G11" i="5" s="1"/>
  <c r="Q11" i="5" s="1"/>
  <c r="F10" i="5"/>
  <c r="G10" i="5" s="1"/>
  <c r="Q10" i="5" s="1"/>
  <c r="F9" i="5"/>
  <c r="G9" i="5" s="1"/>
  <c r="Q9" i="5" s="1"/>
  <c r="F8" i="5"/>
  <c r="G8" i="5" s="1"/>
  <c r="Q8" i="5" s="1"/>
  <c r="F7" i="5"/>
  <c r="G7" i="5" s="1"/>
  <c r="Q7" i="5" s="1"/>
  <c r="F6" i="5"/>
  <c r="G6" i="5" s="1"/>
  <c r="Q6" i="5" s="1"/>
  <c r="F5" i="5"/>
  <c r="G5" i="5" s="1"/>
  <c r="O5" i="5"/>
  <c r="L5" i="5"/>
  <c r="R23" i="5" l="1"/>
  <c r="S23" i="5" s="1"/>
  <c r="U23" i="5" s="1"/>
  <c r="R31" i="5"/>
  <c r="S31" i="5" s="1"/>
  <c r="U31" i="5" s="1"/>
  <c r="R19" i="5"/>
  <c r="S19" i="5" s="1"/>
  <c r="U19" i="5" s="1"/>
  <c r="R35" i="5"/>
  <c r="S35" i="5" s="1"/>
  <c r="U35" i="5" s="1"/>
  <c r="R41" i="5"/>
  <c r="S41" i="5" s="1"/>
  <c r="U41" i="5" s="1"/>
  <c r="R43" i="5"/>
  <c r="S43" i="5" s="1"/>
  <c r="U43" i="5" s="1"/>
  <c r="R53" i="5"/>
  <c r="S53" i="5" s="1"/>
  <c r="U53" i="5" s="1"/>
  <c r="R55" i="5"/>
  <c r="S55" i="5" s="1"/>
  <c r="U55" i="5" s="1"/>
  <c r="G57" i="5"/>
  <c r="R13" i="5"/>
  <c r="S13" i="5" s="1"/>
  <c r="U13" i="5" s="1"/>
  <c r="R6" i="5"/>
  <c r="S6" i="5" s="1"/>
  <c r="U6" i="5" s="1"/>
  <c r="R10" i="5"/>
  <c r="S10" i="5" s="1"/>
  <c r="U10" i="5" s="1"/>
  <c r="R16" i="5"/>
  <c r="S16" i="5" s="1"/>
  <c r="U16" i="5" s="1"/>
  <c r="R21" i="5"/>
  <c r="S21" i="5" s="1"/>
  <c r="U21" i="5" s="1"/>
  <c r="R25" i="5"/>
  <c r="S25" i="5" s="1"/>
  <c r="U25" i="5" s="1"/>
  <c r="R29" i="5"/>
  <c r="S29" i="5" s="1"/>
  <c r="U29" i="5" s="1"/>
  <c r="R33" i="5"/>
  <c r="S33" i="5" s="1"/>
  <c r="U33" i="5" s="1"/>
  <c r="R15" i="5"/>
  <c r="S15" i="5" s="1"/>
  <c r="U15" i="5" s="1"/>
  <c r="R18" i="5"/>
  <c r="S18" i="5" s="1"/>
  <c r="U18" i="5" s="1"/>
  <c r="R20" i="5"/>
  <c r="S20" i="5" s="1"/>
  <c r="U20" i="5" s="1"/>
  <c r="R24" i="5"/>
  <c r="S24" i="5" s="1"/>
  <c r="U24" i="5" s="1"/>
  <c r="R28" i="5"/>
  <c r="S28" i="5" s="1"/>
  <c r="U28" i="5" s="1"/>
  <c r="R30" i="5"/>
  <c r="S30" i="5" s="1"/>
  <c r="U30" i="5" s="1"/>
  <c r="R32" i="5"/>
  <c r="S32" i="5" s="1"/>
  <c r="U32" i="5" s="1"/>
  <c r="R34" i="5"/>
  <c r="S34" i="5" s="1"/>
  <c r="U34" i="5" s="1"/>
  <c r="R36" i="5"/>
  <c r="S36" i="5" s="1"/>
  <c r="U36" i="5" s="1"/>
  <c r="R38" i="5"/>
  <c r="S38" i="5" s="1"/>
  <c r="U38" i="5" s="1"/>
  <c r="R40" i="5"/>
  <c r="S40" i="5" s="1"/>
  <c r="U40" i="5" s="1"/>
  <c r="R42" i="5"/>
  <c r="S42" i="5" s="1"/>
  <c r="U42" i="5" s="1"/>
  <c r="R44" i="5"/>
  <c r="S44" i="5" s="1"/>
  <c r="U44" i="5" s="1"/>
  <c r="R54" i="5"/>
  <c r="S54" i="5" s="1"/>
  <c r="U54" i="5" s="1"/>
  <c r="R56" i="5"/>
  <c r="S56" i="5" s="1"/>
  <c r="U56" i="5" s="1"/>
  <c r="R52" i="5"/>
  <c r="S52" i="5" s="1"/>
  <c r="U52" i="5" s="1"/>
  <c r="R50" i="5"/>
  <c r="S50" i="5" s="1"/>
  <c r="U50" i="5" s="1"/>
  <c r="R48" i="5"/>
  <c r="S48" i="5" s="1"/>
  <c r="U48" i="5" s="1"/>
  <c r="R46" i="5"/>
  <c r="S46" i="5" s="1"/>
  <c r="U46" i="5" s="1"/>
  <c r="R26" i="5"/>
  <c r="S26" i="5" s="1"/>
  <c r="U26" i="5" s="1"/>
  <c r="R22" i="5"/>
  <c r="S22" i="5" s="1"/>
  <c r="U22" i="5" s="1"/>
  <c r="R11" i="5"/>
  <c r="S11" i="5" s="1"/>
  <c r="U11" i="5" s="1"/>
  <c r="R9" i="5"/>
  <c r="S9" i="5" s="1"/>
  <c r="U9" i="5" s="1"/>
  <c r="R7" i="5"/>
  <c r="S7" i="5" s="1"/>
  <c r="U7" i="5" s="1"/>
  <c r="R51" i="5"/>
  <c r="S51" i="5" s="1"/>
  <c r="U51" i="5" s="1"/>
  <c r="R49" i="5"/>
  <c r="S49" i="5" s="1"/>
  <c r="U49" i="5" s="1"/>
  <c r="R47" i="5"/>
  <c r="S47" i="5" s="1"/>
  <c r="U47" i="5" s="1"/>
  <c r="R45" i="5"/>
  <c r="S45" i="5" s="1"/>
  <c r="U45" i="5" s="1"/>
  <c r="R39" i="5"/>
  <c r="S39" i="5" s="1"/>
  <c r="U39" i="5" s="1"/>
  <c r="R37" i="5"/>
  <c r="S37" i="5" s="1"/>
  <c r="U37" i="5" s="1"/>
  <c r="R27" i="5"/>
  <c r="S27" i="5" s="1"/>
  <c r="U27" i="5" s="1"/>
  <c r="R14" i="5"/>
  <c r="S14" i="5" s="1"/>
  <c r="U14" i="5" s="1"/>
  <c r="R12" i="5"/>
  <c r="S12" i="5" s="1"/>
  <c r="U12" i="5" s="1"/>
  <c r="R8" i="5"/>
  <c r="S8" i="5" s="1"/>
  <c r="U8" i="5" s="1"/>
  <c r="R17" i="5"/>
  <c r="S17" i="5" s="1"/>
  <c r="U17" i="5" s="1"/>
  <c r="R5" i="5"/>
  <c r="S5" i="5" s="1"/>
  <c r="U57" i="5" l="1"/>
  <c r="G6" i="11" s="1"/>
  <c r="J6" i="11" l="1"/>
  <c r="J8" i="11" s="1"/>
  <c r="D16" i="11" s="1"/>
  <c r="D17" i="11" s="1"/>
  <c r="G8" i="11"/>
  <c r="C5" i="3"/>
  <c r="C23" i="3"/>
  <c r="C24" i="3"/>
  <c r="C28" i="3"/>
  <c r="C40" i="3"/>
  <c r="C39" i="3"/>
  <c r="D45" i="4" l="1"/>
  <c r="C53" i="3" l="1"/>
  <c r="C44" i="3"/>
  <c r="E41" i="4"/>
  <c r="E38" i="4"/>
  <c r="E32" i="4"/>
  <c r="E31" i="4"/>
  <c r="E29" i="4"/>
  <c r="E28" i="4"/>
  <c r="E27" i="4"/>
  <c r="E25" i="4"/>
  <c r="E24" i="4"/>
  <c r="E23" i="4"/>
  <c r="E21" i="4"/>
  <c r="E20" i="4"/>
  <c r="E18" i="4"/>
  <c r="E17" i="4"/>
  <c r="E16" i="4"/>
  <c r="E15" i="4"/>
  <c r="E12" i="4"/>
  <c r="E11" i="4"/>
  <c r="E8" i="4"/>
  <c r="C15" i="3" l="1"/>
  <c r="C14" i="3"/>
  <c r="D46" i="4" l="1"/>
  <c r="E46" i="4" s="1"/>
  <c r="D36" i="4"/>
  <c r="E36" i="4" s="1"/>
  <c r="D34" i="4"/>
  <c r="E34" i="4" s="1"/>
  <c r="D44" i="4"/>
  <c r="E44" i="4" s="1"/>
  <c r="D40" i="4"/>
  <c r="E40" i="4" s="1"/>
  <c r="E45" i="4"/>
  <c r="E43" i="4"/>
  <c r="E42" i="4"/>
  <c r="E39" i="4"/>
  <c r="E37" i="4"/>
  <c r="E35" i="4"/>
  <c r="E33" i="4"/>
  <c r="E30" i="4"/>
  <c r="E26" i="4"/>
  <c r="E22" i="4"/>
  <c r="E19" i="4"/>
  <c r="E14" i="4"/>
  <c r="E13" i="4"/>
  <c r="E10" i="4"/>
  <c r="E9" i="4"/>
  <c r="E7" i="4"/>
  <c r="E6" i="4"/>
  <c r="E47" i="4" l="1"/>
  <c r="C47" i="3"/>
  <c r="C46" i="3"/>
  <c r="C38" i="3"/>
  <c r="C27" i="3"/>
  <c r="C13" i="3"/>
  <c r="C16" i="3"/>
  <c r="C12" i="3"/>
  <c r="C11" i="3"/>
  <c r="C56" i="3"/>
  <c r="C55" i="3"/>
  <c r="C54" i="3"/>
  <c r="C52" i="3"/>
  <c r="C51" i="3"/>
  <c r="C50" i="3"/>
  <c r="C45" i="3"/>
  <c r="C43" i="3"/>
  <c r="C42" i="3"/>
  <c r="C41" i="3"/>
  <c r="C37" i="3"/>
  <c r="C36" i="3"/>
  <c r="C35" i="3"/>
  <c r="C34" i="3"/>
  <c r="C33" i="3"/>
  <c r="C32" i="3"/>
  <c r="C31" i="3"/>
  <c r="C30" i="3"/>
  <c r="C29" i="3"/>
  <c r="C26" i="3"/>
  <c r="C25" i="3"/>
  <c r="C22" i="3"/>
  <c r="C19" i="3"/>
  <c r="C21" i="3"/>
  <c r="C20" i="3"/>
  <c r="C18" i="3"/>
  <c r="C10" i="3"/>
  <c r="C9" i="3"/>
  <c r="C8" i="3"/>
  <c r="C7" i="3"/>
  <c r="C6" i="3"/>
  <c r="C57" i="3" l="1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Land working!$C$15:$J$25" type="102" refreshedVersion="5" minRefreshableVersion="5">
    <extLst>
      <ext xmlns:x15="http://schemas.microsoft.com/office/spreadsheetml/2010/11/main" uri="{DE250136-89BD-433C-8126-D09CA5730AF9}">
        <x15:connection id="Range-74a3d3da-c1e6-4e55-a37a-5c0344e5d9ec" autoDelete="1">
          <x15:rangePr sourceName="_xlcn.WorksheetConnection_LandworkingC15J251"/>
        </x15:connection>
      </ext>
    </extLst>
  </connection>
</connections>
</file>

<file path=xl/sharedStrings.xml><?xml version="1.0" encoding="utf-8"?>
<sst xmlns="http://schemas.openxmlformats.org/spreadsheetml/2006/main" count="556" uniqueCount="193">
  <si>
    <t>Total</t>
  </si>
  <si>
    <t>General Stores</t>
  </si>
  <si>
    <t>Driver Shed</t>
  </si>
  <si>
    <t>Sr No</t>
  </si>
  <si>
    <t>Name of Building</t>
  </si>
  <si>
    <t>Area</t>
  </si>
  <si>
    <t>Banbury Plant- I - BB#1,2,3 GF</t>
  </si>
  <si>
    <t>RMS Pl-I</t>
  </si>
  <si>
    <t>CRL building</t>
  </si>
  <si>
    <t xml:space="preserve"> ---- Do ---- F.F.</t>
  </si>
  <si>
    <t xml:space="preserve"> ---- Do ---- S.F.</t>
  </si>
  <si>
    <t>Dip Unit</t>
  </si>
  <si>
    <t>Main Plant</t>
  </si>
  <si>
    <t>Tr Expansion area</t>
  </si>
  <si>
    <t>Pl-III Axis 7 to 42</t>
  </si>
  <si>
    <t>Pl-I from Axis 7 to 42 &amp; C to Q</t>
  </si>
  <si>
    <t>Pl-II from Axis 7 to 42 &amp; Q to T</t>
  </si>
  <si>
    <t>FGWH Pl-I</t>
  </si>
  <si>
    <t>FGWH Pl-III</t>
  </si>
  <si>
    <t>RMS Pl- III</t>
  </si>
  <si>
    <t>Mould W/S</t>
  </si>
  <si>
    <t>Engg W/Shop</t>
  </si>
  <si>
    <t>HRD</t>
  </si>
  <si>
    <t>Compressor house</t>
  </si>
  <si>
    <t>DM Plant</t>
  </si>
  <si>
    <t>old DM Plant</t>
  </si>
  <si>
    <t>DG Set building</t>
  </si>
  <si>
    <t>4MW Dg set</t>
  </si>
  <si>
    <t>Cement House Pl-I</t>
  </si>
  <si>
    <t>Cement House Pl-III</t>
  </si>
  <si>
    <t>RTD WH sheds</t>
  </si>
  <si>
    <t>Time office Pl-III building</t>
  </si>
  <si>
    <t>Semi Permanent WH Sheds</t>
  </si>
  <si>
    <t>Infront of Pl-III WH</t>
  </si>
  <si>
    <t>Along the Pl-III building</t>
  </si>
  <si>
    <t>Annexe building along Pl-III main hall</t>
  </si>
  <si>
    <t>A - type</t>
  </si>
  <si>
    <t>AB Type</t>
  </si>
  <si>
    <t>A II type</t>
  </si>
  <si>
    <t>B - Type</t>
  </si>
  <si>
    <t>BII type</t>
  </si>
  <si>
    <t>C- Type</t>
  </si>
  <si>
    <t>D - type</t>
  </si>
  <si>
    <t>DT- type</t>
  </si>
  <si>
    <t>ET-type</t>
  </si>
  <si>
    <t>E - Type</t>
  </si>
  <si>
    <t>F- Type</t>
  </si>
  <si>
    <t>Manoranjan Kendra</t>
  </si>
  <si>
    <t>Co-operative building</t>
  </si>
  <si>
    <t>Dispensary</t>
  </si>
  <si>
    <t>Radial club</t>
  </si>
  <si>
    <t>Trainee Hostel</t>
  </si>
  <si>
    <t>Guest House</t>
  </si>
  <si>
    <t>LPG Godown</t>
  </si>
  <si>
    <t>Hasetri</t>
  </si>
  <si>
    <t>Shiv Mandir</t>
  </si>
  <si>
    <t>Pump House</t>
  </si>
  <si>
    <t>SFRT godown</t>
  </si>
  <si>
    <t>Annexe building from axis 34 to 41 G.F.</t>
  </si>
  <si>
    <t>Boiler house F.F.</t>
  </si>
  <si>
    <t>Boiler house  G.F.</t>
  </si>
  <si>
    <t>New Admn Building G.F.</t>
  </si>
  <si>
    <t>New Admn Building F.F.</t>
  </si>
  <si>
    <t>New Admn Building S.F.</t>
  </si>
  <si>
    <t>Security &amp; gate building G.F.</t>
  </si>
  <si>
    <t>Security &amp; gate building F.F.</t>
  </si>
  <si>
    <t>Single</t>
  </si>
  <si>
    <t>Double</t>
  </si>
  <si>
    <t>Duplex</t>
  </si>
  <si>
    <t>Triple</t>
  </si>
  <si>
    <t>Nos</t>
  </si>
  <si>
    <t>Name of building</t>
  </si>
  <si>
    <t>Type of construction</t>
  </si>
  <si>
    <t>Framed RCC Structure with RCC Roof</t>
  </si>
  <si>
    <t>Steel Columns ,Steel truss roof &amp; GI/AC Sheet roofing</t>
  </si>
  <si>
    <t>Stone Masonary walls with RCC Columns ,Steel truss roof &amp; GI/AC Sheet roofing</t>
  </si>
  <si>
    <t>Stone Masonary walls with RCC Columns part RCC &amp; part Steel truss roof &amp; GI/AC Sheet roofing</t>
  </si>
  <si>
    <t>Date : 01.05.2022</t>
  </si>
  <si>
    <t>Details of Plant buildings Plan area &amp; height , type of structure details of KTP</t>
  </si>
  <si>
    <t>Annexe building from axis 7 to 29 Pl-I</t>
  </si>
  <si>
    <t xml:space="preserve">   ---- Do -----     F.F. Pl-I</t>
  </si>
  <si>
    <t>Main Canteen Hall &amp; Kitchen</t>
  </si>
  <si>
    <t>Load Bearing Structure with RCC Roof</t>
  </si>
  <si>
    <t>Type of Structure</t>
  </si>
  <si>
    <t>Year of Construction</t>
  </si>
  <si>
    <t>Banbury Plant- III - BB#4 GF</t>
  </si>
  <si>
    <t>Banbury Plant- III - BB#5 GF</t>
  </si>
  <si>
    <t>14T Boiler G.F.</t>
  </si>
  <si>
    <t>Steel Columns ,Steel truss roof &amp; GI/AC Sheet roofing in roof &amp; Side cladding</t>
  </si>
  <si>
    <t>14T Boiler F.F.</t>
  </si>
  <si>
    <t>Radial club Expansion</t>
  </si>
  <si>
    <t>Guest House Expansion</t>
  </si>
  <si>
    <t>Height   (in Mtr)</t>
  </si>
  <si>
    <t>Total Height (in Mtr)</t>
  </si>
  <si>
    <t>Area of one unit (in Sqm)</t>
  </si>
  <si>
    <t>Total area (in Sqm)</t>
  </si>
  <si>
    <t>No. of Storey</t>
  </si>
  <si>
    <t>Details of Township buildings Plan area &amp; height , type of structure details of KTP</t>
  </si>
  <si>
    <t>Hasetri building G.F.</t>
  </si>
  <si>
    <t>Hasetri building F.F.</t>
  </si>
  <si>
    <t>RCC Framed Structure</t>
  </si>
  <si>
    <t>SR. No.</t>
  </si>
  <si>
    <t>Floor</t>
  </si>
  <si>
    <t>Unit</t>
  </si>
  <si>
    <t>Area (in sq. mtr.)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</si>
  <si>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</si>
  <si>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</si>
  <si>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</si>
  <si>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</si>
  <si>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</si>
  <si>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</si>
  <si>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</si>
  <si>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</si>
  <si>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</si>
  <si>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</si>
  <si>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</si>
  <si>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</si>
  <si>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</si>
  <si>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Ground Floor</t>
  </si>
  <si>
    <t>RCC framed pillar beam column on RCC slab</t>
  </si>
  <si>
    <t>TOTAL</t>
  </si>
  <si>
    <t>First floor</t>
  </si>
  <si>
    <t>Second Floor</t>
  </si>
  <si>
    <t>First Floor</t>
  </si>
  <si>
    <r>
      <t xml:space="preserve">Height </t>
    </r>
    <r>
      <rPr>
        <b/>
        <i/>
        <sz val="10"/>
        <rFont val="Calibri"/>
        <family val="2"/>
        <scheme val="minor"/>
      </rPr>
      <t>(in mtr.)</t>
    </r>
  </si>
  <si>
    <t>No. of Unit</t>
  </si>
  <si>
    <t>Area of one unit (in sq.mtr)</t>
  </si>
  <si>
    <t>BUILDING VALUATION OF M/S. J K TYRE &amp; INDUSTRIES LTD.|KANKROLI, UDAIPUR, RAJASTHAN</t>
  </si>
  <si>
    <t>PART NO</t>
  </si>
  <si>
    <t xml:space="preserve">TYPE OF TRANSFER </t>
  </si>
  <si>
    <t>LEASE DEED</t>
  </si>
  <si>
    <t>TRANSFER DEED</t>
  </si>
  <si>
    <t>SALE DEED</t>
  </si>
  <si>
    <t>VILLAGE NAME</t>
  </si>
  <si>
    <t>TRANSFER DATE</t>
  </si>
  <si>
    <t>AREA (sqr. ft.)</t>
  </si>
  <si>
    <t>AREA (acre)</t>
  </si>
  <si>
    <t>DHOINDA</t>
  </si>
  <si>
    <t>NOGAMA</t>
  </si>
  <si>
    <t xml:space="preserve">NOGAMA </t>
  </si>
  <si>
    <t>EMDI</t>
  </si>
  <si>
    <t>AREA( in acres)</t>
  </si>
  <si>
    <t>Grand Total</t>
  </si>
  <si>
    <t>AREA (sqr.mtr)</t>
  </si>
  <si>
    <t>AREA AS PER MOE (sqr. Mtr.)</t>
  </si>
  <si>
    <t>VILLAGE WISE LAND BREAK UP AS PER THE DEED (M/S. J K TYRE &amp; INDUSTRIES LTD, KANKROLI PLANT)</t>
  </si>
  <si>
    <t xml:space="preserve"> AREA (in acre)</t>
  </si>
  <si>
    <t>Village Name</t>
  </si>
  <si>
    <t>VILLAGE WISE LAND BREAK UP | M/S. J K TYRE INDUSTRIES &amp; LTD.</t>
  </si>
  <si>
    <t>Sr.No</t>
  </si>
  <si>
    <t>Particulars</t>
  </si>
  <si>
    <t>Gross Current Reproduction Cost (GCRC) (INR)</t>
  </si>
  <si>
    <t>Depreciated Replacement Market Value
(Building)</t>
  </si>
  <si>
    <t>Depreciated Replacement Market Value
(Road)</t>
  </si>
  <si>
    <t>Depreciated Replacement Market Value
(Boundary Wall)</t>
  </si>
  <si>
    <t>Total Prospective  Market Value (PFMV) (INR)</t>
  </si>
  <si>
    <t>Note:</t>
  </si>
  <si>
    <t>1.All the details related to the Buildings and civil work has been provided by Company and all the details are relied upon for the assessent.</t>
  </si>
  <si>
    <t>2. Building Area Statement has been provided to us by the company management. On the provided details we have inspected through sample measurement which was found to be approximately same.</t>
  </si>
  <si>
    <t>Main Plant Building</t>
  </si>
  <si>
    <t>Township Building</t>
  </si>
  <si>
    <t xml:space="preserve">VILLAGE NAME </t>
  </si>
  <si>
    <t xml:space="preserve">TYPE OF LAND </t>
  </si>
  <si>
    <t>EMRI</t>
  </si>
  <si>
    <t>TOTAL LAND (in acres)</t>
  </si>
  <si>
    <t>Rs.45,54,184/- per Hectare</t>
  </si>
  <si>
    <t>RATE (found in public domain)</t>
  </si>
  <si>
    <t>RATE (in acres)</t>
  </si>
  <si>
    <t>Agriculture</t>
  </si>
  <si>
    <t>Rs.4,86,582/- per Bigha</t>
  </si>
  <si>
    <t>Rs.2,46,537/- per Bigha</t>
  </si>
  <si>
    <t>3. Boundary wall's length is considered in running meter. Although the company did not provided any information about boundary wall's length, we have adopted an approximate value through satellite measurement.</t>
  </si>
  <si>
    <t>SUMMARY- JK TYRES &amp; INDUSTRRIES LTD. | KANKROLI UNIT, RAJASTHAN</t>
  </si>
  <si>
    <t>Built-up area (in sq. ft.)</t>
  </si>
  <si>
    <t>5% PREMIUM FOR CONVERSION</t>
  </si>
  <si>
    <t xml:space="preserve">1. The rate found on the public domain is for agricultural land. So, we have added additional 5% premium as conversion rate as per by laws. </t>
  </si>
  <si>
    <t>2.The adopted area is considered as per the documents given to us by the company.</t>
  </si>
  <si>
    <t>PREMIUM (5%)</t>
  </si>
  <si>
    <t>SUMMARY OF CIRCLE RATE M/S. J K TYRE INDUSTRIES LTD. | KANKROLI PLANT, RAJASTHAN</t>
  </si>
  <si>
    <t>AREA(IN ACRES)</t>
  </si>
  <si>
    <t>AREA(IN BIGHA)</t>
  </si>
  <si>
    <t>AGRICULTURAL</t>
  </si>
  <si>
    <t>LAND VALUATION OF M/S J K TYRE INDUSTRIES &amp; LTD.</t>
  </si>
  <si>
    <t>land</t>
  </si>
  <si>
    <t>building</t>
  </si>
  <si>
    <t>total</t>
  </si>
  <si>
    <t>RV</t>
  </si>
  <si>
    <t>DV</t>
  </si>
  <si>
    <t>MARKET RATE(PER ACRE)</t>
  </si>
  <si>
    <t>Round Off</t>
  </si>
  <si>
    <t>AFTER CONVERSION (5% PREMIUM ON DLC RATE)</t>
  </si>
  <si>
    <t>1. Land valuation is done as per the market rate found from different sources like property dealers, local people etc. Also RIICO industrial allotment rates has taken into consideration.</t>
  </si>
  <si>
    <t>2. Land rate that we have found is for Agricultural land so we have added standard conversion premium as per by laws.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</si>
</sst>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"/>
    <numFmt numFmtId="165" formatCode="0.0000"/>
    <numFmt numFmtId="166" formatCode="_ &quot;₹&quot;\ * #,##0_ ;_ &quot;₹&quot;\ * \-#,##0_ ;_ &quot;₹&quot;\ * &quot;-&quot;??_ ;_ @_ "/>
    <numFmt numFmtId="167" formatCode="_ * #,##0_ ;_ * \-#,##0_ ;_ * &quot;-&quot;??_ ;_ @_ "/>
    <numFmt numFmtId="168" formatCode="_ [$₹-4009]\ * #,##0_ ;_ [$₹-4009]\ * \-#,##0_ ;_ [$₹-4009]\ * &quot;-&quot;??_ ;_ @_ "/>
    <numFmt numFmtId="169" formatCode="_ [$₹-4009]\ * #,##0.0_ ;_ [$₹-4009]\ * \-#,##0.0_ ;_ [$₹-4009]\ * &quot;-&quot;?_ ;_ @_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55">
    <xf numFmtId="0" fontId="0" fillId="0" borderId="0" xfId="0"/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 vertical="top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0" borderId="0" xfId="0" applyFont="1"/>
    <xf numFmtId="0" fontId="5" fillId="0" borderId="0" xfId="0" applyFont="1"/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2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6" fontId="0" fillId="0" borderId="1" xfId="2" applyNumberFormat="1" applyFont="1" applyBorder="1" applyAlignment="1">
      <alignment vertical="center"/>
    </xf>
    <xf numFmtId="166" fontId="0" fillId="0" borderId="1" xfId="2" applyNumberFormat="1" applyFont="1" applyBorder="1" applyAlignment="1">
      <alignment vertical="center" wrapText="1"/>
    </xf>
    <xf numFmtId="9" fontId="0" fillId="0" borderId="1" xfId="3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0" fontId="0" fillId="3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9" fontId="0" fillId="0" borderId="1" xfId="3" applyFont="1" applyBorder="1" applyAlignment="1">
      <alignment horizontal="center" vertical="center" wrapText="1"/>
    </xf>
    <xf numFmtId="167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7" fontId="8" fillId="6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9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166" fontId="0" fillId="0" borderId="1" xfId="2" applyNumberFormat="1" applyFont="1" applyBorder="1" applyAlignment="1">
      <alignment horizontal="center" wrapText="1"/>
    </xf>
    <xf numFmtId="9" fontId="0" fillId="0" borderId="1" xfId="3" applyFont="1" applyBorder="1" applyAlignment="1">
      <alignment horizontal="center" wrapText="1"/>
    </xf>
    <xf numFmtId="0" fontId="0" fillId="0" borderId="0" xfId="0" applyAlignment="1">
      <alignment vertical="center" wrapText="1"/>
    </xf>
    <xf numFmtId="167" fontId="0" fillId="0" borderId="0" xfId="1" applyNumberFormat="1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left" inden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0" fontId="0" fillId="0" borderId="0" xfId="0" pivotButton="1" applyFont="1" applyAlignment="1">
      <alignment horizontal="center"/>
    </xf>
    <xf numFmtId="0" fontId="0" fillId="8" borderId="0" xfId="0" applyFill="1" applyAlignment="1">
      <alignment horizontal="left"/>
    </xf>
    <xf numFmtId="2" fontId="0" fillId="8" borderId="0" xfId="0" applyNumberFormat="1" applyFill="1"/>
    <xf numFmtId="44" fontId="8" fillId="11" borderId="1" xfId="2" applyFont="1" applyFill="1" applyBorder="1" applyAlignment="1">
      <alignment horizontal="center" vertical="center" wrapText="1"/>
    </xf>
    <xf numFmtId="166" fontId="0" fillId="0" borderId="1" xfId="0" applyNumberFormat="1" applyBorder="1"/>
    <xf numFmtId="0" fontId="1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/>
    </xf>
    <xf numFmtId="168" fontId="1" fillId="0" borderId="2" xfId="0" applyNumberFormat="1" applyFont="1" applyBorder="1" applyAlignment="1">
      <alignment horizontal="center"/>
    </xf>
    <xf numFmtId="0" fontId="1" fillId="8" borderId="1" xfId="0" applyFont="1" applyFill="1" applyBorder="1" applyAlignment="1">
      <alignment horizontal="center" wrapText="1"/>
    </xf>
    <xf numFmtId="0" fontId="1" fillId="11" borderId="3" xfId="0" applyFont="1" applyFill="1" applyBorder="1" applyAlignment="1">
      <alignment horizontal="center" vertical="center"/>
    </xf>
    <xf numFmtId="168" fontId="0" fillId="0" borderId="1" xfId="0" applyNumberFormat="1" applyBorder="1"/>
    <xf numFmtId="168" fontId="0" fillId="0" borderId="1" xfId="0" applyNumberFormat="1" applyBorder="1" applyAlignment="1">
      <alignment vertical="center"/>
    </xf>
    <xf numFmtId="168" fontId="0" fillId="0" borderId="1" xfId="1" applyNumberFormat="1" applyFont="1" applyBorder="1" applyAlignment="1">
      <alignment horizontal="center"/>
    </xf>
    <xf numFmtId="168" fontId="1" fillId="0" borderId="1" xfId="0" applyNumberFormat="1" applyFont="1" applyBorder="1"/>
    <xf numFmtId="0" fontId="1" fillId="12" borderId="1" xfId="0" applyFont="1" applyFill="1" applyBorder="1" applyAlignment="1">
      <alignment horizontal="center" vertical="center" wrapText="1"/>
    </xf>
    <xf numFmtId="166" fontId="1" fillId="0" borderId="1" xfId="0" applyNumberFormat="1" applyFont="1" applyBorder="1"/>
    <xf numFmtId="169" fontId="0" fillId="0" borderId="0" xfId="0" applyNumberFormat="1"/>
    <xf numFmtId="4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2" fontId="11" fillId="7" borderId="9" xfId="0" applyNumberFormat="1" applyFont="1" applyFill="1" applyBorder="1" applyAlignment="1">
      <alignment horizontal="center" vertical="center"/>
    </xf>
    <xf numFmtId="2" fontId="11" fillId="7" borderId="0" xfId="0" applyNumberFormat="1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wrapText="1"/>
    </xf>
    <xf numFmtId="0" fontId="11" fillId="7" borderId="0" xfId="0" applyFont="1" applyFill="1" applyAlignment="1">
      <alignment horizontal="center"/>
    </xf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0" fontId="7" fillId="10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" fillId="12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168" fontId="1" fillId="0" borderId="1" xfId="1" applyNumberFormat="1" applyFont="1" applyBorder="1" applyAlignment="1">
      <alignment horizontal="center"/>
    </xf>
    <xf numFmtId="0" fontId="15" fillId="8" borderId="1" xfId="0" applyFont="1" applyFill="1" applyBorder="1"/>
    <xf numFmtId="0" fontId="0" fillId="13" borderId="0" xfId="0" applyFill="1"/>
    <xf numFmtId="0" fontId="1" fillId="0" borderId="1" xfId="0" applyFont="1" applyBorder="1" applyAlignment="1">
      <alignment horizontal="center" vertical="center" wrapText="1"/>
    </xf>
    <xf numFmtId="166" fontId="0" fillId="0" borderId="1" xfId="0" applyNumberFormat="1" applyBorder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alignment horizontal="center" readingOrder="0"/>
    </dxf>
    <dxf>
      <alignment horizontal="center" readingOrder="0"/>
    </dxf>
    <dxf>
      <font>
        <sz val="11"/>
      </font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ing-ii\THAKUR\costcentre%20salary%20&amp;%20wag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costcentre salary &amp; wages"/>
      <sheetName val="Monthly Salary &amp; wages"/>
      <sheetName val="salary&amp;wages'01-02 (2)"/>
      <sheetName val="new costcentre salary &amp; wages "/>
      <sheetName val="Sheet1"/>
      <sheetName val="salary&amp;wages'02-0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Babul" refreshedDate="44809.724572222221" backgroundQuery="1" createdVersion="5" refreshedVersion="5" minRefreshableVersion="3" recordCount="0" supportSubquery="1" supportAdvancedDrill="1">
  <cacheSource type="external" connectionId="1"/>
  <cacheFields count="3">
    <cacheField name="[Range].[VILLAGE NAME].[VILLAGE NAME]" caption="VILLAGE NAME" numFmtId="0" level="1">
      <sharedItems count="3">
        <s v="DHOINDA"/>
        <s v="EMDI"/>
        <s v="NOGAMA"/>
      </sharedItems>
    </cacheField>
    <cacheField name="[Measures].[Sum of AREA (acre)]" caption="Sum of AREA (acre)" numFmtId="0" hierarchy="9" level="32767"/>
    <cacheField name="[Range].[TYPE OF TRANSFER].[TYPE OF TRANSFER]" caption="TYPE OF TRANSFER" numFmtId="0" hierarchy="2" level="1">
      <sharedItems count="3">
        <s v="LEASE DEED"/>
        <s v="SALE DEED"/>
        <s v="TRANSFER DEED"/>
      </sharedItems>
    </cacheField>
  </cacheFields>
  <cacheHierarchies count="12">
    <cacheHierarchy uniqueName="[Range].[VILLAGE NAME]" caption="VILLAGE NAME" attribute="1" defaultMemberUniqueName="[Range].[VILLAGE NAME].[All]" allUniqueName="[Range].[VILLAGE NAME].[All]" dimensionUniqueName="[Range]" displayFolder="" count="2" memberValueDatatype="130" unbalanced="0">
      <fieldsUsage count="2">
        <fieldUsage x="-1"/>
        <fieldUsage x="0"/>
      </fieldsUsage>
    </cacheHierarchy>
    <cacheHierarchy uniqueName="[Range].[PART NO]" caption="PART NO" attribute="1" defaultMemberUniqueName="[Range].[PART NO].[All]" allUniqueName="[Range].[PART NO].[All]" dimensionUniqueName="[Range]" displayFolder="" count="0" memberValueDatatype="20" unbalanced="0"/>
    <cacheHierarchy uniqueName="[Range].[TYPE OF TRANSFER]" caption="TYPE OF TRANSFER" attribute="1" defaultMemberUniqueName="[Range].[TYPE OF TRANSFER].[All]" allUniqueName="[Range].[TYPE OF TRANSFER].[All]" dimensionUniqueName="[Range]" displayFolder="" count="2" memberValueDatatype="130" unbalanced="0">
      <fieldsUsage count="2">
        <fieldUsage x="-1"/>
        <fieldUsage x="2"/>
      </fieldsUsage>
    </cacheHierarchy>
    <cacheHierarchy uniqueName="[Range].[TRANSFER DATE]" caption="TRANSFER DATE" attribute="1" time="1" defaultMemberUniqueName="[Range].[TRANSFER DATE].[All]" allUniqueName="[Range].[TRANSFER DATE].[All]" dimensionUniqueName="[Range]" displayFolder="" count="0" memberValueDatatype="7" unbalanced="0"/>
    <cacheHierarchy uniqueName="[Range].[AREA (sqr.mtr)]" caption="AREA (sqr.mtr)" attribute="1" defaultMemberUniqueName="[Range].[AREA (sqr.mtr)].[All]" allUniqueName="[Range].[AREA (sqr.mtr)].[All]" dimensionUniqueName="[Range]" displayFolder="" count="0" memberValueDatatype="5" unbalanced="0"/>
    <cacheHierarchy uniqueName="[Range].[AREA AS PER MOE (sqr. Mtr.)]" caption="AREA AS PER MOE (sqr. Mtr.)" attribute="1" defaultMemberUniqueName="[Range].[AREA AS PER MOE (sqr. Mtr.)].[All]" allUniqueName="[Range].[AREA AS PER MOE (sqr. Mtr.)].[All]" dimensionUniqueName="[Range]" displayFolder="" count="0" memberValueDatatype="5" unbalanced="0"/>
    <cacheHierarchy uniqueName="[Range].[AREA (sqr. ft.)]" caption="AREA (sqr. ft.)" attribute="1" defaultMemberUniqueName="[Range].[AREA (sqr. ft.)].[All]" allUniqueName="[Range].[AREA (sqr. ft.)].[All]" dimensionUniqueName="[Range]" displayFolder="" count="0" memberValueDatatype="5" unbalanced="0"/>
    <cacheHierarchy uniqueName="[Range].[AREA (acre)]" caption="AREA (acre)" attribute="1" defaultMemberUniqueName="[Range].[AREA (acre)].[All]" allUniqueName="[Range].[AREA (acre)].[All]" dimensionUniqueName="[Range]" displayFolder="" count="0" memberValueDatatype="5" unbalanced="0"/>
    <cacheHierarchy uniqueName="[Measures].[Sum of AREA (sqr ft)]" caption="Sum of AREA (sqr ft)" measure="1" displayFolder="" measureGroup="Range" count="0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Sum of AREA (acre)]" caption="Sum of AREA (acre)" measure="1" displayFolder="" measureGroup="Range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__XL_Count Range]" caption="__XL_Count Range" measure="1" displayFolder="" measureGroup="Range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Village Name">
  <location ref="A3:B15" firstHeaderRow="1" firstDataRow="1" firstDataCol="1"/>
  <pivotFields count="3">
    <pivotField axis="axisRow" allDrilled="1" showAll="0" dataSourceSort="1" defaultAttributeDrillState="1">
      <items count="4">
        <item x="0"/>
        <item x="1"/>
        <item x="2"/>
        <item t="default"/>
      </items>
    </pivotField>
    <pivotField dataField="1" showAll="0"/>
    <pivotField axis="axisRow" allDrilled="1" showAll="0" dataSourceSort="1" defaultAttributeDrillState="1">
      <items count="4">
        <item x="0"/>
        <item x="1"/>
        <item x="2"/>
        <item t="default"/>
      </items>
    </pivotField>
  </pivotFields>
  <rowFields count="2">
    <field x="0"/>
    <field x="2"/>
  </rowFields>
  <rowItems count="12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2"/>
    </i>
    <i t="grand">
      <x/>
    </i>
  </rowItems>
  <colItems count="1">
    <i/>
  </colItems>
  <dataFields count="1">
    <dataField name=" AREA (in acre)" fld="1" baseField="0" baseItem="0" numFmtId="2"/>
  </dataFields>
  <formats count="6"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outline="0" axis="axisValues" fieldPosition="0"/>
    </format>
    <format dxfId="2">
      <pivotArea field="0" type="button" dataOnly="0" labelOnly="1" outline="0" axis="axisRow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Hierarchies count="1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 AREA (in acre)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Land working!$C$15:$J$25">
        <x15:activeTabTopLevelEntity name="[Range]"/>
      </x15:pivotTableUISettings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V35"/>
  <sheetViews>
    <sheetView topLeftCell="A13" zoomScaleNormal="100" workbookViewId="0">
      <selection activeCell="O31" sqref="O31"/>
    </sheetView>
  </sheetViews>
  <sheetFormatPr defaultRowHeight="15" x14ac:dyDescent="0.25"/>
  <cols>
    <col min="2" max="2" width="9" customWidth="1"/>
    <col min="3" max="3" width="14.28515625" customWidth="1"/>
    <col min="4" max="4" width="15" customWidth="1"/>
    <col min="5" max="5" width="10.7109375" style="24" customWidth="1"/>
    <col min="6" max="6" width="14.7109375" style="24" hidden="1" customWidth="1"/>
    <col min="7" max="7" width="13" style="24" customWidth="1"/>
    <col min="8" max="8" width="14.85546875" style="24" hidden="1" customWidth="1"/>
    <col min="9" max="9" width="14.42578125" style="24" customWidth="1"/>
    <col min="10" max="11" width="18" style="24" hidden="1" customWidth="1"/>
    <col min="12" max="12" width="14.85546875" style="24" hidden="1" customWidth="1"/>
    <col min="13" max="13" width="16.7109375" style="24" hidden="1" customWidth="1"/>
    <col min="14" max="14" width="16.42578125" style="24" customWidth="1"/>
    <col min="15" max="15" width="18.28515625" customWidth="1"/>
    <col min="16" max="16" width="18.5703125" customWidth="1"/>
    <col min="17" max="17" width="13.85546875" customWidth="1"/>
    <col min="18" max="18" width="14.5703125" customWidth="1"/>
    <col min="19" max="19" width="15.42578125" customWidth="1"/>
    <col min="21" max="21" width="15.140625" customWidth="1"/>
  </cols>
  <sheetData>
    <row r="4" spans="3:19" ht="15.75" customHeight="1" x14ac:dyDescent="0.25"/>
    <row r="5" spans="3:19" ht="42" customHeight="1" x14ac:dyDescent="0.25">
      <c r="C5" s="107" t="s">
        <v>145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9"/>
    </row>
    <row r="6" spans="3:19" s="24" customFormat="1" ht="44.25" customHeight="1" x14ac:dyDescent="0.25">
      <c r="C6" s="80" t="s">
        <v>133</v>
      </c>
      <c r="D6" s="80"/>
      <c r="E6" s="80" t="s">
        <v>128</v>
      </c>
      <c r="F6" s="80"/>
      <c r="G6" s="80" t="s">
        <v>129</v>
      </c>
      <c r="H6" s="80"/>
      <c r="I6" s="80" t="s">
        <v>134</v>
      </c>
      <c r="J6" s="80" t="s">
        <v>143</v>
      </c>
      <c r="K6" s="83" t="s">
        <v>144</v>
      </c>
      <c r="L6" s="80" t="s">
        <v>135</v>
      </c>
      <c r="M6" s="80"/>
      <c r="N6" s="80" t="s">
        <v>136</v>
      </c>
    </row>
    <row r="7" spans="3:19" ht="15" customHeight="1" x14ac:dyDescent="0.25">
      <c r="C7" s="5" t="s">
        <v>137</v>
      </c>
      <c r="D7" s="5"/>
      <c r="E7" s="4">
        <v>1</v>
      </c>
      <c r="F7" s="4"/>
      <c r="G7" s="4" t="s">
        <v>130</v>
      </c>
      <c r="H7" s="4"/>
      <c r="I7" s="71">
        <v>27611</v>
      </c>
      <c r="J7" s="72">
        <f>L7/10.764</f>
        <v>148801.867855563</v>
      </c>
      <c r="K7" s="72">
        <v>148798.041</v>
      </c>
      <c r="L7" s="73">
        <f>N7*43560.057264</f>
        <v>1601703.3055972802</v>
      </c>
      <c r="M7" s="73"/>
      <c r="N7" s="4">
        <v>36.770000000000003</v>
      </c>
    </row>
    <row r="8" spans="3:19" x14ac:dyDescent="0.25">
      <c r="C8" s="5" t="s">
        <v>140</v>
      </c>
      <c r="D8" s="5"/>
      <c r="E8" s="4">
        <v>1</v>
      </c>
      <c r="F8" s="4"/>
      <c r="G8" s="4" t="s">
        <v>130</v>
      </c>
      <c r="H8" s="4"/>
      <c r="I8" s="71">
        <v>27611</v>
      </c>
      <c r="J8" s="72">
        <f t="shared" ref="J8:J16" si="0">L8/10.764</f>
        <v>160456.73267536232</v>
      </c>
      <c r="K8" s="72">
        <v>160452.606</v>
      </c>
      <c r="L8" s="73">
        <f t="shared" ref="L8:L12" si="1">N8*43560.057264</f>
        <v>1727156.2705176</v>
      </c>
      <c r="M8" s="73"/>
      <c r="N8" s="4">
        <v>39.65</v>
      </c>
    </row>
    <row r="9" spans="3:19" ht="15" customHeight="1" x14ac:dyDescent="0.25">
      <c r="C9" s="5" t="s">
        <v>138</v>
      </c>
      <c r="D9" s="5"/>
      <c r="E9" s="4">
        <v>1</v>
      </c>
      <c r="F9" s="4"/>
      <c r="G9" s="4" t="s">
        <v>130</v>
      </c>
      <c r="H9" s="4"/>
      <c r="I9" s="71">
        <v>27611</v>
      </c>
      <c r="J9" s="72">
        <f t="shared" si="0"/>
        <v>69807.784076923082</v>
      </c>
      <c r="K9" s="72">
        <v>69805.989000000001</v>
      </c>
      <c r="L9" s="73">
        <f t="shared" si="1"/>
        <v>751410.98780400003</v>
      </c>
      <c r="M9" s="73"/>
      <c r="N9" s="4">
        <v>17.25</v>
      </c>
      <c r="S9" s="75"/>
    </row>
    <row r="10" spans="3:19" ht="15" customHeight="1" x14ac:dyDescent="0.25">
      <c r="C10" s="5" t="s">
        <v>137</v>
      </c>
      <c r="D10" s="5"/>
      <c r="E10" s="4">
        <v>2</v>
      </c>
      <c r="F10" s="4"/>
      <c r="G10" s="4" t="s">
        <v>131</v>
      </c>
      <c r="H10" s="4"/>
      <c r="I10" s="71">
        <v>27618</v>
      </c>
      <c r="J10" s="72">
        <f t="shared" si="0"/>
        <v>424107.58094269794</v>
      </c>
      <c r="K10" s="72">
        <v>443035.34299999999</v>
      </c>
      <c r="L10" s="73">
        <f t="shared" si="1"/>
        <v>4565094.0012672003</v>
      </c>
      <c r="M10" s="73"/>
      <c r="N10" s="4">
        <v>104.8</v>
      </c>
    </row>
    <row r="11" spans="3:19" ht="15" customHeight="1" x14ac:dyDescent="0.25">
      <c r="C11" s="5" t="s">
        <v>140</v>
      </c>
      <c r="D11" s="5"/>
      <c r="E11" s="4">
        <v>2</v>
      </c>
      <c r="F11" s="4"/>
      <c r="G11" s="4" t="s">
        <v>131</v>
      </c>
      <c r="H11" s="4"/>
      <c r="I11" s="71">
        <v>27618</v>
      </c>
      <c r="J11" s="72">
        <f t="shared" si="0"/>
        <v>144067.07902251952</v>
      </c>
      <c r="K11" s="72">
        <v>142120.96400000001</v>
      </c>
      <c r="L11" s="73">
        <f t="shared" si="1"/>
        <v>1550738.0385984001</v>
      </c>
      <c r="M11" s="73"/>
      <c r="N11" s="4">
        <v>35.6</v>
      </c>
    </row>
    <row r="12" spans="3:19" ht="15" customHeight="1" x14ac:dyDescent="0.25">
      <c r="C12" s="5" t="s">
        <v>139</v>
      </c>
      <c r="D12" s="5"/>
      <c r="E12" s="4">
        <v>2</v>
      </c>
      <c r="F12" s="4"/>
      <c r="G12" s="4" t="s">
        <v>131</v>
      </c>
      <c r="H12" s="4"/>
      <c r="I12" s="71">
        <v>27618</v>
      </c>
      <c r="J12" s="72">
        <f t="shared" si="0"/>
        <v>171909.25609204013</v>
      </c>
      <c r="K12" s="72">
        <v>170852.68700000001</v>
      </c>
      <c r="L12" s="73">
        <f t="shared" si="1"/>
        <v>1850431.2325747199</v>
      </c>
      <c r="M12" s="73"/>
      <c r="N12" s="4">
        <v>42.48</v>
      </c>
    </row>
    <row r="13" spans="3:19" ht="15" customHeight="1" x14ac:dyDescent="0.25">
      <c r="C13" s="5" t="s">
        <v>137</v>
      </c>
      <c r="D13" s="5"/>
      <c r="E13" s="4">
        <v>3</v>
      </c>
      <c r="F13" s="4"/>
      <c r="G13" s="4" t="s">
        <v>132</v>
      </c>
      <c r="H13" s="4"/>
      <c r="I13" s="71">
        <v>27268</v>
      </c>
      <c r="J13" s="72">
        <f t="shared" si="0"/>
        <v>26.755852842809364</v>
      </c>
      <c r="K13" s="72">
        <v>26.76</v>
      </c>
      <c r="L13" s="73">
        <v>288</v>
      </c>
      <c r="M13" s="73"/>
      <c r="N13" s="72">
        <f>L13/43560.057264</f>
        <v>6.6115615563714187E-3</v>
      </c>
      <c r="P13" s="94" t="s">
        <v>133</v>
      </c>
      <c r="Q13" s="94" t="s">
        <v>141</v>
      </c>
      <c r="R13" t="s">
        <v>177</v>
      </c>
    </row>
    <row r="14" spans="3:19" ht="15" customHeight="1" x14ac:dyDescent="0.25">
      <c r="C14" s="5" t="s">
        <v>140</v>
      </c>
      <c r="D14" s="5"/>
      <c r="E14" s="4">
        <v>4</v>
      </c>
      <c r="F14" s="4"/>
      <c r="G14" s="4" t="s">
        <v>132</v>
      </c>
      <c r="H14" s="4"/>
      <c r="I14" s="71">
        <v>27677</v>
      </c>
      <c r="J14" s="72">
        <f t="shared" si="0"/>
        <v>200.66399999999999</v>
      </c>
      <c r="K14" s="72">
        <v>200.66</v>
      </c>
      <c r="L14" s="73">
        <f>10.764*200.664</f>
        <v>2159.9472959999998</v>
      </c>
      <c r="M14" s="73"/>
      <c r="N14" s="72">
        <f>L14/43560.057264</f>
        <v>4.9585501757020825E-2</v>
      </c>
      <c r="P14" s="77" t="s">
        <v>137</v>
      </c>
      <c r="Q14" s="4">
        <v>144.62</v>
      </c>
      <c r="R14">
        <v>13332511.944939271</v>
      </c>
    </row>
    <row r="15" spans="3:19" ht="15" customHeight="1" x14ac:dyDescent="0.25">
      <c r="C15" s="5" t="s">
        <v>137</v>
      </c>
      <c r="D15" s="5"/>
      <c r="E15" s="4">
        <v>5</v>
      </c>
      <c r="F15" s="4"/>
      <c r="G15" s="4" t="s">
        <v>130</v>
      </c>
      <c r="H15" s="4"/>
      <c r="I15" s="71">
        <v>27717</v>
      </c>
      <c r="J15" s="72">
        <f t="shared" si="0"/>
        <v>12221.420748539578</v>
      </c>
      <c r="K15" s="72">
        <v>12221.106</v>
      </c>
      <c r="L15" s="73">
        <f>N15*43560.057264</f>
        <v>131551.37293728002</v>
      </c>
      <c r="M15" s="73"/>
      <c r="N15" s="4">
        <v>3.02</v>
      </c>
      <c r="P15" s="78" t="s">
        <v>140</v>
      </c>
      <c r="Q15" s="4">
        <v>75.3</v>
      </c>
      <c r="R15">
        <v>4579953.0750000002</v>
      </c>
    </row>
    <row r="16" spans="3:19" ht="15" customHeight="1" x14ac:dyDescent="0.25">
      <c r="C16" s="5" t="s">
        <v>137</v>
      </c>
      <c r="D16" s="5"/>
      <c r="E16" s="4">
        <v>6</v>
      </c>
      <c r="F16" s="4"/>
      <c r="G16" s="4" t="s">
        <v>132</v>
      </c>
      <c r="H16" s="4"/>
      <c r="I16" s="71">
        <v>27750</v>
      </c>
      <c r="J16" s="72">
        <f t="shared" si="0"/>
        <v>94.969342251950948</v>
      </c>
      <c r="K16" s="72">
        <v>94.97</v>
      </c>
      <c r="L16" s="73">
        <v>1022.25</v>
      </c>
      <c r="M16" s="73"/>
      <c r="N16" s="72">
        <f>L16/43560.057264</f>
        <v>2.3467600003474594E-2</v>
      </c>
      <c r="P16" s="78" t="s">
        <v>138</v>
      </c>
      <c r="Q16" s="4">
        <v>59.73</v>
      </c>
      <c r="R16">
        <v>1840706.87625</v>
      </c>
    </row>
    <row r="17" spans="3:22" ht="15" customHeight="1" x14ac:dyDescent="0.25">
      <c r="C17" s="104" t="s">
        <v>120</v>
      </c>
      <c r="D17" s="105"/>
      <c r="E17" s="105"/>
      <c r="F17" s="105"/>
      <c r="G17" s="105"/>
      <c r="H17" s="105"/>
      <c r="I17" s="105"/>
      <c r="J17" s="105"/>
      <c r="K17" s="105"/>
      <c r="L17" s="106"/>
      <c r="M17" s="82"/>
      <c r="N17" s="74">
        <f>SUM(N7:N16)</f>
        <v>279.64966466331686</v>
      </c>
      <c r="P17" s="70" t="s">
        <v>0</v>
      </c>
      <c r="Q17" s="4">
        <f>SUBTOTAL(9,Q14:Q16)</f>
        <v>279.65000000000003</v>
      </c>
      <c r="R17">
        <v>19753171.896189269</v>
      </c>
    </row>
    <row r="18" spans="3:22" x14ac:dyDescent="0.25">
      <c r="V18" s="24"/>
    </row>
    <row r="19" spans="3:22" x14ac:dyDescent="0.25">
      <c r="V19" s="24"/>
    </row>
    <row r="20" spans="3:22" x14ac:dyDescent="0.25">
      <c r="V20" s="24"/>
    </row>
    <row r="21" spans="3:22" ht="27" customHeight="1" x14ac:dyDescent="0.25">
      <c r="C21" s="110" t="s">
        <v>182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V21" s="24"/>
    </row>
    <row r="22" spans="3:22" ht="63" customHeight="1" x14ac:dyDescent="0.25">
      <c r="C22" s="144" t="s">
        <v>161</v>
      </c>
      <c r="D22" s="144" t="s">
        <v>162</v>
      </c>
      <c r="E22" s="100" t="s">
        <v>179</v>
      </c>
      <c r="F22" s="100"/>
      <c r="G22" s="100" t="s">
        <v>180</v>
      </c>
      <c r="H22" s="100"/>
      <c r="I22" s="100" t="s">
        <v>188</v>
      </c>
      <c r="J22" s="145"/>
      <c r="K22" s="145"/>
      <c r="L22" s="145"/>
      <c r="M22" s="145"/>
      <c r="N22" s="100" t="s">
        <v>120</v>
      </c>
      <c r="O22" s="100" t="s">
        <v>190</v>
      </c>
      <c r="P22" s="100" t="s">
        <v>120</v>
      </c>
      <c r="S22" s="10"/>
      <c r="U22" s="75"/>
      <c r="V22" s="24"/>
    </row>
    <row r="23" spans="3:22" x14ac:dyDescent="0.25">
      <c r="C23" s="77" t="s">
        <v>137</v>
      </c>
      <c r="D23" s="77" t="s">
        <v>181</v>
      </c>
      <c r="E23" s="4">
        <v>144.62</v>
      </c>
      <c r="F23" s="4"/>
      <c r="G23" s="4">
        <f>E23*1.6</f>
        <v>231.39200000000002</v>
      </c>
      <c r="H23" s="4"/>
      <c r="I23" s="98">
        <v>4000000</v>
      </c>
      <c r="J23" s="4"/>
      <c r="K23" s="4"/>
      <c r="L23" s="4"/>
      <c r="M23" s="4"/>
      <c r="N23" s="98">
        <f>I23*E23</f>
        <v>578480000</v>
      </c>
      <c r="O23" s="98">
        <v>13332511.944939271</v>
      </c>
      <c r="P23" s="98">
        <f>O23+N23</f>
        <v>591812511.94493926</v>
      </c>
      <c r="Q23" s="102">
        <f>I23/1.6</f>
        <v>2500000</v>
      </c>
      <c r="V23" s="24"/>
    </row>
    <row r="24" spans="3:22" x14ac:dyDescent="0.25">
      <c r="C24" s="78" t="s">
        <v>140</v>
      </c>
      <c r="D24" s="78" t="s">
        <v>181</v>
      </c>
      <c r="E24" s="4">
        <v>75.3</v>
      </c>
      <c r="F24" s="4"/>
      <c r="G24" s="4">
        <f t="shared" ref="G24:G25" si="2">E24*1.6</f>
        <v>120.48</v>
      </c>
      <c r="H24" s="4"/>
      <c r="I24" s="98">
        <v>2400000</v>
      </c>
      <c r="J24" s="4"/>
      <c r="K24" s="4"/>
      <c r="L24" s="4">
        <f>N24/4047</f>
        <v>44655.300222386955</v>
      </c>
      <c r="M24" s="4"/>
      <c r="N24" s="98">
        <f t="shared" ref="N24:N25" si="3">I24*E24</f>
        <v>180720000</v>
      </c>
      <c r="O24" s="98">
        <v>4579953.0750000002</v>
      </c>
      <c r="P24" s="98">
        <f>O24+N24</f>
        <v>185299953.07499999</v>
      </c>
      <c r="Q24" s="102">
        <f t="shared" ref="Q24:Q25" si="4">I24/1.6</f>
        <v>1500000</v>
      </c>
      <c r="S24" s="10"/>
      <c r="V24" s="24"/>
    </row>
    <row r="25" spans="3:22" x14ac:dyDescent="0.25">
      <c r="C25" s="78" t="s">
        <v>138</v>
      </c>
      <c r="D25" s="78" t="s">
        <v>181</v>
      </c>
      <c r="E25" s="4">
        <v>59.73</v>
      </c>
      <c r="F25" s="4"/>
      <c r="G25" s="4">
        <f t="shared" si="2"/>
        <v>95.567999999999998</v>
      </c>
      <c r="H25" s="4"/>
      <c r="I25" s="98">
        <v>1200000</v>
      </c>
      <c r="J25" s="4"/>
      <c r="K25" s="4"/>
      <c r="L25" s="4"/>
      <c r="M25" s="4"/>
      <c r="N25" s="98">
        <f t="shared" si="3"/>
        <v>71676000</v>
      </c>
      <c r="O25" s="98">
        <v>1840706.87625</v>
      </c>
      <c r="P25" s="98">
        <f t="shared" ref="P25:P26" si="5">O25+N25</f>
        <v>73516706.876249999</v>
      </c>
      <c r="Q25" s="102">
        <f t="shared" si="4"/>
        <v>750000</v>
      </c>
      <c r="V25" s="24"/>
    </row>
    <row r="26" spans="3:22" x14ac:dyDescent="0.25">
      <c r="C26" s="104" t="s">
        <v>120</v>
      </c>
      <c r="D26" s="106"/>
      <c r="E26" s="4">
        <f>SUM(E23:E25)</f>
        <v>279.65000000000003</v>
      </c>
      <c r="F26" s="4"/>
      <c r="G26" s="4">
        <f>SUM(G23:G25)</f>
        <v>447.44</v>
      </c>
      <c r="H26" s="4"/>
      <c r="I26" s="4"/>
      <c r="J26" s="4"/>
      <c r="K26" s="4"/>
      <c r="L26" s="4"/>
      <c r="M26" s="4"/>
      <c r="N26" s="98">
        <f>SUM(N23:N25)</f>
        <v>830876000</v>
      </c>
      <c r="O26" s="98">
        <v>19753171.896189269</v>
      </c>
      <c r="P26" s="150">
        <f t="shared" si="5"/>
        <v>850629171.89618921</v>
      </c>
      <c r="S26" s="75"/>
      <c r="V26" s="24"/>
    </row>
    <row r="27" spans="3:22" ht="24.75" customHeight="1" x14ac:dyDescent="0.25">
      <c r="C27" s="146" t="s">
        <v>191</v>
      </c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</row>
    <row r="28" spans="3:22" x14ac:dyDescent="0.25">
      <c r="C28" s="147" t="s">
        <v>192</v>
      </c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9"/>
    </row>
    <row r="31" spans="3:22" ht="30" customHeight="1" x14ac:dyDescent="0.25"/>
    <row r="32" spans="3:22" ht="21.75" customHeight="1" x14ac:dyDescent="0.25"/>
    <row r="33" ht="24.75" customHeight="1" x14ac:dyDescent="0.25"/>
    <row r="34" ht="22.5" customHeight="1" x14ac:dyDescent="0.25"/>
    <row r="35" ht="14.25" customHeight="1" x14ac:dyDescent="0.25"/>
  </sheetData>
  <autoFilter ref="C6:N17"/>
  <mergeCells count="6">
    <mergeCell ref="C28:P28"/>
    <mergeCell ref="C17:L17"/>
    <mergeCell ref="C5:N5"/>
    <mergeCell ref="C26:D26"/>
    <mergeCell ref="C21:P21"/>
    <mergeCell ref="C27:P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H16" sqref="H16"/>
    </sheetView>
  </sheetViews>
  <sheetFormatPr defaultRowHeight="15" x14ac:dyDescent="0.25"/>
  <cols>
    <col min="1" max="1" width="18.85546875" bestFit="1" customWidth="1"/>
    <col min="2" max="2" width="18.140625" customWidth="1"/>
  </cols>
  <sheetData>
    <row r="1" spans="1:2" x14ac:dyDescent="0.25">
      <c r="A1" s="112" t="s">
        <v>148</v>
      </c>
      <c r="B1" s="112"/>
    </row>
    <row r="2" spans="1:2" x14ac:dyDescent="0.25">
      <c r="A2" s="112"/>
      <c r="B2" s="112"/>
    </row>
    <row r="3" spans="1:2" x14ac:dyDescent="0.25">
      <c r="A3" s="84" t="s">
        <v>147</v>
      </c>
      <c r="B3" s="24" t="s">
        <v>146</v>
      </c>
    </row>
    <row r="4" spans="1:2" x14ac:dyDescent="0.25">
      <c r="A4" s="10" t="s">
        <v>137</v>
      </c>
      <c r="B4" s="75">
        <v>144.62007916155986</v>
      </c>
    </row>
    <row r="5" spans="1:2" x14ac:dyDescent="0.25">
      <c r="A5" s="76" t="s">
        <v>130</v>
      </c>
      <c r="B5" s="75">
        <v>39.790000000000006</v>
      </c>
    </row>
    <row r="6" spans="1:2" x14ac:dyDescent="0.25">
      <c r="A6" s="76" t="s">
        <v>132</v>
      </c>
      <c r="B6" s="75">
        <v>3.0079161559846013E-2</v>
      </c>
    </row>
    <row r="7" spans="1:2" x14ac:dyDescent="0.25">
      <c r="A7" s="76" t="s">
        <v>131</v>
      </c>
      <c r="B7" s="75">
        <v>104.8</v>
      </c>
    </row>
    <row r="8" spans="1:2" x14ac:dyDescent="0.25">
      <c r="A8" s="10" t="s">
        <v>140</v>
      </c>
      <c r="B8" s="75">
        <v>75.299585501757022</v>
      </c>
    </row>
    <row r="9" spans="1:2" x14ac:dyDescent="0.25">
      <c r="A9" s="76" t="s">
        <v>130</v>
      </c>
      <c r="B9" s="75">
        <v>39.65</v>
      </c>
    </row>
    <row r="10" spans="1:2" x14ac:dyDescent="0.25">
      <c r="A10" s="76" t="s">
        <v>132</v>
      </c>
      <c r="B10" s="75">
        <v>4.9585501757020825E-2</v>
      </c>
    </row>
    <row r="11" spans="1:2" x14ac:dyDescent="0.25">
      <c r="A11" s="76" t="s">
        <v>131</v>
      </c>
      <c r="B11" s="75">
        <v>35.6</v>
      </c>
    </row>
    <row r="12" spans="1:2" x14ac:dyDescent="0.25">
      <c r="A12" s="10" t="s">
        <v>138</v>
      </c>
      <c r="B12" s="75">
        <v>59.73</v>
      </c>
    </row>
    <row r="13" spans="1:2" x14ac:dyDescent="0.25">
      <c r="A13" s="76" t="s">
        <v>130</v>
      </c>
      <c r="B13" s="75">
        <v>17.25</v>
      </c>
    </row>
    <row r="14" spans="1:2" x14ac:dyDescent="0.25">
      <c r="A14" s="76" t="s">
        <v>131</v>
      </c>
      <c r="B14" s="75">
        <v>42.48</v>
      </c>
    </row>
    <row r="15" spans="1:2" x14ac:dyDescent="0.25">
      <c r="A15" s="85" t="s">
        <v>142</v>
      </c>
      <c r="B15" s="86">
        <v>279.64966466331686</v>
      </c>
    </row>
  </sheetData>
  <mergeCells count="1">
    <mergeCell ref="A1:B2"/>
  </mergeCell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1"/>
  <sheetViews>
    <sheetView topLeftCell="A4" workbookViewId="0">
      <selection activeCell="H5" sqref="H5:H9"/>
    </sheetView>
  </sheetViews>
  <sheetFormatPr defaultRowHeight="15" x14ac:dyDescent="0.25"/>
  <cols>
    <col min="2" max="2" width="11.85546875" customWidth="1"/>
    <col min="3" max="3" width="15" customWidth="1"/>
    <col min="4" max="4" width="10.85546875" customWidth="1"/>
    <col min="5" max="5" width="21" customWidth="1"/>
    <col min="6" max="6" width="15" customWidth="1"/>
    <col min="7" max="7" width="15.85546875" customWidth="1"/>
    <col min="8" max="8" width="15.28515625" customWidth="1"/>
    <col min="9" max="9" width="9.140625" hidden="1" customWidth="1"/>
    <col min="10" max="10" width="3" hidden="1" customWidth="1"/>
    <col min="11" max="11" width="16.85546875" customWidth="1"/>
  </cols>
  <sheetData>
    <row r="4" spans="2:11" ht="18.75" x14ac:dyDescent="0.3">
      <c r="B4" s="113" t="s">
        <v>178</v>
      </c>
      <c r="C4" s="113"/>
      <c r="D4" s="113"/>
      <c r="E4" s="113"/>
      <c r="F4" s="113"/>
      <c r="G4" s="113"/>
      <c r="H4" s="113"/>
      <c r="I4" s="113"/>
      <c r="J4" s="113"/>
      <c r="K4" s="113"/>
    </row>
    <row r="5" spans="2:11" ht="45" x14ac:dyDescent="0.25">
      <c r="B5" s="90" t="s">
        <v>161</v>
      </c>
      <c r="C5" s="89" t="s">
        <v>162</v>
      </c>
      <c r="D5" s="90" t="s">
        <v>164</v>
      </c>
      <c r="E5" s="90" t="s">
        <v>166</v>
      </c>
      <c r="F5" s="89" t="s">
        <v>167</v>
      </c>
      <c r="G5" s="89" t="s">
        <v>120</v>
      </c>
      <c r="H5" s="95" t="s">
        <v>177</v>
      </c>
      <c r="I5" s="24"/>
      <c r="J5" s="24"/>
      <c r="K5" s="90" t="s">
        <v>174</v>
      </c>
    </row>
    <row r="6" spans="2:11" ht="30" x14ac:dyDescent="0.25">
      <c r="B6" s="81" t="s">
        <v>137</v>
      </c>
      <c r="C6" s="81" t="s">
        <v>168</v>
      </c>
      <c r="D6" s="81">
        <f>'Land working'!Q14</f>
        <v>144.62</v>
      </c>
      <c r="E6" s="19" t="s">
        <v>165</v>
      </c>
      <c r="F6" s="91">
        <f>4554184/2.47</f>
        <v>1843799.1902834007</v>
      </c>
      <c r="G6" s="92">
        <f>F6*D6</f>
        <v>266650238.89878541</v>
      </c>
      <c r="H6" s="97">
        <f>G6*0.05</f>
        <v>13332511.944939271</v>
      </c>
      <c r="I6" s="24"/>
      <c r="J6" s="24"/>
      <c r="K6" s="92">
        <f>G6*1.05</f>
        <v>279982750.84372467</v>
      </c>
    </row>
    <row r="7" spans="2:11" ht="30" x14ac:dyDescent="0.25">
      <c r="B7" s="81" t="s">
        <v>163</v>
      </c>
      <c r="C7" s="81" t="s">
        <v>168</v>
      </c>
      <c r="D7" s="81">
        <f>'Land working'!Q15</f>
        <v>75.3</v>
      </c>
      <c r="E7" s="19" t="s">
        <v>169</v>
      </c>
      <c r="F7" s="91">
        <f>2.5*486582</f>
        <v>1216455</v>
      </c>
      <c r="G7" s="92">
        <f>F7*D7</f>
        <v>91599061.5</v>
      </c>
      <c r="H7" s="97">
        <f t="shared" ref="H7:H8" si="0">G7*0.05</f>
        <v>4579953.0750000002</v>
      </c>
      <c r="I7" s="24"/>
      <c r="J7" s="24"/>
      <c r="K7" s="92">
        <f>G7*1.05</f>
        <v>96179014.575000003</v>
      </c>
    </row>
    <row r="8" spans="2:11" ht="30" x14ac:dyDescent="0.25">
      <c r="B8" s="81" t="s">
        <v>138</v>
      </c>
      <c r="C8" s="81" t="s">
        <v>168</v>
      </c>
      <c r="D8" s="81">
        <f>'Land working'!Q16</f>
        <v>59.73</v>
      </c>
      <c r="E8" s="19" t="s">
        <v>170</v>
      </c>
      <c r="F8" s="91">
        <f>2.5*246537</f>
        <v>616342.5</v>
      </c>
      <c r="G8" s="92">
        <f>F8*D8</f>
        <v>36814137.524999999</v>
      </c>
      <c r="H8" s="97">
        <f t="shared" si="0"/>
        <v>1840706.87625</v>
      </c>
      <c r="I8" s="24"/>
      <c r="J8" s="24"/>
      <c r="K8" s="92">
        <f>G8*1.05</f>
        <v>38654844.401249997</v>
      </c>
    </row>
    <row r="9" spans="2:11" x14ac:dyDescent="0.25">
      <c r="B9" s="104" t="s">
        <v>120</v>
      </c>
      <c r="C9" s="105"/>
      <c r="D9" s="105"/>
      <c r="E9" s="105"/>
      <c r="F9" s="106"/>
      <c r="G9" s="93">
        <f>SUM(G6:G8)</f>
        <v>395063437.92378539</v>
      </c>
      <c r="H9" s="96">
        <f>SUM(H6:H8)</f>
        <v>19753171.896189269</v>
      </c>
      <c r="I9" s="24"/>
      <c r="J9" s="24"/>
      <c r="K9" s="93">
        <f>SUM(K6:K8)</f>
        <v>414816609.81997466</v>
      </c>
    </row>
    <row r="10" spans="2:11" x14ac:dyDescent="0.25">
      <c r="B10" s="115" t="s">
        <v>175</v>
      </c>
      <c r="C10" s="116"/>
      <c r="D10" s="116"/>
      <c r="E10" s="116"/>
      <c r="F10" s="116"/>
      <c r="G10" s="116"/>
      <c r="H10" s="116"/>
      <c r="I10" s="116"/>
      <c r="J10" s="116"/>
      <c r="K10" s="116"/>
    </row>
    <row r="11" spans="2:11" x14ac:dyDescent="0.25">
      <c r="B11" s="114" t="s">
        <v>176</v>
      </c>
      <c r="C11" s="114"/>
      <c r="D11" s="114"/>
      <c r="E11" s="114"/>
      <c r="F11" s="114"/>
      <c r="G11" s="114"/>
      <c r="H11" s="114"/>
      <c r="I11" s="114"/>
      <c r="J11" s="114"/>
      <c r="K11" s="114"/>
    </row>
  </sheetData>
  <mergeCells count="4">
    <mergeCell ref="B9:F9"/>
    <mergeCell ref="B4:K4"/>
    <mergeCell ref="B11:K11"/>
    <mergeCell ref="B10:K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50" workbookViewId="0">
      <selection activeCell="H10" sqref="H10"/>
    </sheetView>
  </sheetViews>
  <sheetFormatPr defaultRowHeight="15" x14ac:dyDescent="0.25"/>
  <cols>
    <col min="1" max="1" width="4.5703125" customWidth="1"/>
    <col min="2" max="2" width="26.5703125" customWidth="1"/>
    <col min="4" max="4" width="7" customWidth="1"/>
    <col min="6" max="6" width="19.42578125" customWidth="1"/>
    <col min="7" max="7" width="9.140625" style="24" customWidth="1"/>
  </cols>
  <sheetData>
    <row r="1" spans="1:7" x14ac:dyDescent="0.25">
      <c r="F1" s="17" t="s">
        <v>77</v>
      </c>
    </row>
    <row r="2" spans="1:7" ht="21" x14ac:dyDescent="0.35">
      <c r="A2" s="14" t="s">
        <v>78</v>
      </c>
    </row>
    <row r="4" spans="1:7" ht="45" x14ac:dyDescent="0.25">
      <c r="A4" s="26" t="s">
        <v>3</v>
      </c>
      <c r="B4" s="1" t="s">
        <v>4</v>
      </c>
      <c r="C4" s="1" t="s">
        <v>5</v>
      </c>
      <c r="D4" s="15" t="s">
        <v>92</v>
      </c>
      <c r="E4" s="15" t="s">
        <v>93</v>
      </c>
      <c r="F4" s="15" t="s">
        <v>72</v>
      </c>
      <c r="G4" s="15" t="s">
        <v>84</v>
      </c>
    </row>
    <row r="5" spans="1:7" x14ac:dyDescent="0.25">
      <c r="A5" s="2">
        <v>1</v>
      </c>
      <c r="B5" s="3" t="s">
        <v>7</v>
      </c>
      <c r="C5" s="2">
        <f>21*100</f>
        <v>2100</v>
      </c>
      <c r="D5" s="4">
        <v>4.5</v>
      </c>
      <c r="E5" s="4">
        <v>4.5</v>
      </c>
      <c r="F5" s="117" t="s">
        <v>75</v>
      </c>
      <c r="G5" s="4">
        <v>1977</v>
      </c>
    </row>
    <row r="6" spans="1:7" x14ac:dyDescent="0.25">
      <c r="A6" s="2">
        <v>2</v>
      </c>
      <c r="B6" s="3" t="s">
        <v>19</v>
      </c>
      <c r="C6" s="2">
        <f>21*25</f>
        <v>525</v>
      </c>
      <c r="D6" s="4">
        <v>4.5</v>
      </c>
      <c r="E6" s="4">
        <v>4.5</v>
      </c>
      <c r="F6" s="119"/>
      <c r="G6" s="4">
        <v>1983</v>
      </c>
    </row>
    <row r="7" spans="1:7" x14ac:dyDescent="0.25">
      <c r="A7" s="2">
        <v>3</v>
      </c>
      <c r="B7" s="3" t="s">
        <v>8</v>
      </c>
      <c r="C7" s="2">
        <f>60*15.5</f>
        <v>930</v>
      </c>
      <c r="D7" s="4">
        <v>4.5</v>
      </c>
      <c r="E7" s="4">
        <v>4.5</v>
      </c>
      <c r="F7" s="117" t="s">
        <v>73</v>
      </c>
      <c r="G7" s="4">
        <v>1993</v>
      </c>
    </row>
    <row r="8" spans="1:7" x14ac:dyDescent="0.25">
      <c r="A8" s="2">
        <v>4</v>
      </c>
      <c r="B8" s="3" t="s">
        <v>6</v>
      </c>
      <c r="C8" s="2">
        <f>77*42</f>
        <v>3234</v>
      </c>
      <c r="D8" s="4">
        <v>6</v>
      </c>
      <c r="E8" s="120">
        <v>18</v>
      </c>
      <c r="F8" s="118"/>
      <c r="G8" s="4">
        <v>1977</v>
      </c>
    </row>
    <row r="9" spans="1:7" x14ac:dyDescent="0.25">
      <c r="A9" s="2">
        <v>5</v>
      </c>
      <c r="B9" s="3" t="s">
        <v>9</v>
      </c>
      <c r="C9" s="2">
        <f>77*42</f>
        <v>3234</v>
      </c>
      <c r="D9" s="4">
        <v>6</v>
      </c>
      <c r="E9" s="120"/>
      <c r="F9" s="119"/>
      <c r="G9" s="4">
        <v>1977</v>
      </c>
    </row>
    <row r="10" spans="1:7" ht="75" x14ac:dyDescent="0.25">
      <c r="A10" s="18">
        <v>6</v>
      </c>
      <c r="B10" s="22" t="s">
        <v>10</v>
      </c>
      <c r="C10" s="18">
        <f>77*42</f>
        <v>3234</v>
      </c>
      <c r="D10" s="18">
        <v>6</v>
      </c>
      <c r="E10" s="120"/>
      <c r="F10" s="16" t="s">
        <v>75</v>
      </c>
      <c r="G10" s="18">
        <v>1977</v>
      </c>
    </row>
    <row r="11" spans="1:7" x14ac:dyDescent="0.25">
      <c r="A11" s="2">
        <v>7</v>
      </c>
      <c r="B11" s="3" t="s">
        <v>85</v>
      </c>
      <c r="C11" s="2">
        <f>42*25</f>
        <v>1050</v>
      </c>
      <c r="D11" s="4">
        <v>6</v>
      </c>
      <c r="E11" s="120">
        <v>18</v>
      </c>
      <c r="F11" s="117" t="s">
        <v>73</v>
      </c>
      <c r="G11" s="4">
        <v>1983</v>
      </c>
    </row>
    <row r="12" spans="1:7" x14ac:dyDescent="0.25">
      <c r="A12" s="2">
        <v>8</v>
      </c>
      <c r="B12" s="3" t="s">
        <v>9</v>
      </c>
      <c r="C12" s="2">
        <f>42*25</f>
        <v>1050</v>
      </c>
      <c r="D12" s="4">
        <v>6</v>
      </c>
      <c r="E12" s="120"/>
      <c r="F12" s="119"/>
      <c r="G12" s="4">
        <v>1983</v>
      </c>
    </row>
    <row r="13" spans="1:7" ht="15" customHeight="1" x14ac:dyDescent="0.25">
      <c r="A13" s="2">
        <v>9</v>
      </c>
      <c r="B13" s="3" t="s">
        <v>10</v>
      </c>
      <c r="C13" s="2">
        <f>42*25</f>
        <v>1050</v>
      </c>
      <c r="D13" s="4">
        <v>6</v>
      </c>
      <c r="E13" s="120"/>
      <c r="F13" s="20" t="s">
        <v>75</v>
      </c>
      <c r="G13" s="4">
        <v>1983</v>
      </c>
    </row>
    <row r="14" spans="1:7" ht="45" x14ac:dyDescent="0.25">
      <c r="A14" s="18">
        <v>10</v>
      </c>
      <c r="B14" s="22" t="s">
        <v>86</v>
      </c>
      <c r="C14" s="18">
        <f>42.5*10</f>
        <v>425</v>
      </c>
      <c r="D14" s="18">
        <v>6</v>
      </c>
      <c r="E14" s="123">
        <v>12</v>
      </c>
      <c r="F14" s="20" t="s">
        <v>73</v>
      </c>
      <c r="G14" s="18">
        <v>2014</v>
      </c>
    </row>
    <row r="15" spans="1:7" ht="45" customHeight="1" x14ac:dyDescent="0.25">
      <c r="A15" s="18">
        <v>11</v>
      </c>
      <c r="B15" s="22" t="s">
        <v>9</v>
      </c>
      <c r="C15" s="18">
        <f>42.5*10</f>
        <v>425</v>
      </c>
      <c r="D15" s="18">
        <v>6</v>
      </c>
      <c r="E15" s="124"/>
      <c r="F15" s="117" t="s">
        <v>75</v>
      </c>
      <c r="G15" s="18">
        <v>2014</v>
      </c>
    </row>
    <row r="16" spans="1:7" x14ac:dyDescent="0.25">
      <c r="A16" s="2">
        <v>12</v>
      </c>
      <c r="B16" s="3" t="s">
        <v>11</v>
      </c>
      <c r="C16" s="2">
        <f>42*21+7*21</f>
        <v>1029</v>
      </c>
      <c r="D16" s="4">
        <v>10</v>
      </c>
      <c r="E16" s="4">
        <v>10</v>
      </c>
      <c r="F16" s="119"/>
      <c r="G16" s="4">
        <v>1977</v>
      </c>
    </row>
    <row r="17" spans="1:7" x14ac:dyDescent="0.25">
      <c r="A17" s="2">
        <v>13</v>
      </c>
      <c r="B17" s="8" t="s">
        <v>12</v>
      </c>
      <c r="C17" s="2"/>
      <c r="D17" s="4"/>
      <c r="E17" s="4"/>
      <c r="F17" s="5"/>
      <c r="G17" s="4"/>
    </row>
    <row r="18" spans="1:7" x14ac:dyDescent="0.25">
      <c r="A18" s="2">
        <v>14</v>
      </c>
      <c r="B18" s="3" t="s">
        <v>15</v>
      </c>
      <c r="C18" s="2">
        <f>84*((7*35)+1.1)</f>
        <v>20672.399999999998</v>
      </c>
      <c r="D18" s="4">
        <v>7.5</v>
      </c>
      <c r="E18" s="4">
        <v>7.5</v>
      </c>
      <c r="F18" s="117" t="s">
        <v>75</v>
      </c>
      <c r="G18" s="4">
        <v>1977</v>
      </c>
    </row>
    <row r="19" spans="1:7" x14ac:dyDescent="0.25">
      <c r="A19" s="2">
        <v>15</v>
      </c>
      <c r="B19" s="3" t="s">
        <v>16</v>
      </c>
      <c r="C19" s="2">
        <f>21*((7*35)+1.1)+14*7</f>
        <v>5266.0999999999995</v>
      </c>
      <c r="D19" s="4">
        <v>7.5</v>
      </c>
      <c r="E19" s="4">
        <v>7.5</v>
      </c>
      <c r="F19" s="118"/>
      <c r="G19" s="4">
        <v>1980</v>
      </c>
    </row>
    <row r="20" spans="1:7" x14ac:dyDescent="0.25">
      <c r="A20" s="2">
        <v>16</v>
      </c>
      <c r="B20" s="3" t="s">
        <v>13</v>
      </c>
      <c r="C20" s="2">
        <f>(25*((15*7)+0.4)+(25*((8*7)+0.4)))</f>
        <v>4045</v>
      </c>
      <c r="D20" s="4">
        <v>7.5</v>
      </c>
      <c r="E20" s="4">
        <v>7.5</v>
      </c>
      <c r="F20" s="118"/>
      <c r="G20" s="4">
        <v>2013</v>
      </c>
    </row>
    <row r="21" spans="1:7" x14ac:dyDescent="0.25">
      <c r="A21" s="2">
        <v>17</v>
      </c>
      <c r="B21" s="3" t="s">
        <v>14</v>
      </c>
      <c r="C21" s="2">
        <f>25*((7*35)+1.1)</f>
        <v>6152.5</v>
      </c>
      <c r="D21" s="4">
        <v>7.5</v>
      </c>
      <c r="E21" s="4">
        <v>7.5</v>
      </c>
      <c r="F21" s="119"/>
      <c r="G21" s="4">
        <v>1983</v>
      </c>
    </row>
    <row r="22" spans="1:7" ht="45" x14ac:dyDescent="0.25">
      <c r="A22" s="18">
        <v>18</v>
      </c>
      <c r="B22" s="22" t="s">
        <v>35</v>
      </c>
      <c r="C22" s="18">
        <f>10*((7*35)+1.1)</f>
        <v>2461</v>
      </c>
      <c r="D22" s="18">
        <v>3.5</v>
      </c>
      <c r="E22" s="18">
        <v>3.5</v>
      </c>
      <c r="F22" s="19" t="s">
        <v>73</v>
      </c>
      <c r="G22" s="18">
        <v>1983</v>
      </c>
    </row>
    <row r="23" spans="1:7" x14ac:dyDescent="0.25">
      <c r="A23" s="2">
        <v>19</v>
      </c>
      <c r="B23" s="3" t="s">
        <v>17</v>
      </c>
      <c r="C23" s="2">
        <f>125*((7*8)+0.3)</f>
        <v>7037.5</v>
      </c>
      <c r="D23" s="4">
        <v>7.5</v>
      </c>
      <c r="E23" s="4">
        <v>7.5</v>
      </c>
      <c r="F23" s="117" t="s">
        <v>75</v>
      </c>
      <c r="G23" s="4">
        <v>1977</v>
      </c>
    </row>
    <row r="24" spans="1:7" x14ac:dyDescent="0.25">
      <c r="A24" s="2">
        <v>20</v>
      </c>
      <c r="B24" s="3" t="s">
        <v>18</v>
      </c>
      <c r="C24" s="2">
        <f>35*((7*8)+0.3)</f>
        <v>1970.5</v>
      </c>
      <c r="D24" s="4">
        <v>7.5</v>
      </c>
      <c r="E24" s="4">
        <v>7.5</v>
      </c>
      <c r="F24" s="118"/>
      <c r="G24" s="4">
        <v>1983</v>
      </c>
    </row>
    <row r="25" spans="1:7" x14ac:dyDescent="0.25">
      <c r="A25" s="2">
        <v>21</v>
      </c>
      <c r="B25" s="3" t="s">
        <v>79</v>
      </c>
      <c r="C25" s="2">
        <f>10*((7*19)+0.4)</f>
        <v>1334</v>
      </c>
      <c r="D25" s="4">
        <v>3.5</v>
      </c>
      <c r="E25" s="4">
        <v>3.5</v>
      </c>
      <c r="F25" s="119"/>
      <c r="G25" s="4">
        <v>1977</v>
      </c>
    </row>
    <row r="26" spans="1:7" x14ac:dyDescent="0.25">
      <c r="A26" s="2">
        <v>22</v>
      </c>
      <c r="B26" s="3" t="s">
        <v>58</v>
      </c>
      <c r="C26" s="2">
        <f>14.7*(7*7)</f>
        <v>720.3</v>
      </c>
      <c r="D26" s="4">
        <v>3.5</v>
      </c>
      <c r="E26" s="120">
        <v>7</v>
      </c>
      <c r="F26" s="117" t="s">
        <v>73</v>
      </c>
      <c r="G26" s="4">
        <v>1983</v>
      </c>
    </row>
    <row r="27" spans="1:7" x14ac:dyDescent="0.25">
      <c r="A27" s="2">
        <v>23</v>
      </c>
      <c r="B27" s="3" t="s">
        <v>80</v>
      </c>
      <c r="C27" s="2">
        <f>14.7*(7*7)</f>
        <v>720.3</v>
      </c>
      <c r="D27" s="4">
        <v>3.5</v>
      </c>
      <c r="E27" s="120"/>
      <c r="F27" s="119"/>
      <c r="G27" s="4">
        <v>1983</v>
      </c>
    </row>
    <row r="28" spans="1:7" ht="90" x14ac:dyDescent="0.25">
      <c r="A28" s="18">
        <v>24</v>
      </c>
      <c r="B28" s="22" t="s">
        <v>81</v>
      </c>
      <c r="C28" s="18">
        <f>23*21*2+23*7</f>
        <v>1127</v>
      </c>
      <c r="D28" s="18">
        <v>4</v>
      </c>
      <c r="E28" s="18">
        <v>4</v>
      </c>
      <c r="F28" s="19" t="s">
        <v>76</v>
      </c>
      <c r="G28" s="18">
        <v>1994</v>
      </c>
    </row>
    <row r="29" spans="1:7" x14ac:dyDescent="0.25">
      <c r="A29" s="2">
        <v>25</v>
      </c>
      <c r="B29" s="3" t="s">
        <v>20</v>
      </c>
      <c r="C29" s="2">
        <f>7*32.3</f>
        <v>226.09999999999997</v>
      </c>
      <c r="D29" s="4">
        <v>4</v>
      </c>
      <c r="E29" s="4">
        <v>4</v>
      </c>
      <c r="F29" s="117" t="s">
        <v>75</v>
      </c>
      <c r="G29" s="4">
        <v>1978</v>
      </c>
    </row>
    <row r="30" spans="1:7" x14ac:dyDescent="0.25">
      <c r="A30" s="2">
        <v>26</v>
      </c>
      <c r="B30" s="3" t="s">
        <v>21</v>
      </c>
      <c r="C30" s="2">
        <f>22.3*28</f>
        <v>624.4</v>
      </c>
      <c r="D30" s="4">
        <v>4</v>
      </c>
      <c r="E30" s="4">
        <v>4</v>
      </c>
      <c r="F30" s="118"/>
      <c r="G30" s="4">
        <v>1977</v>
      </c>
    </row>
    <row r="31" spans="1:7" x14ac:dyDescent="0.25">
      <c r="A31" s="2">
        <v>27</v>
      </c>
      <c r="B31" s="3" t="s">
        <v>1</v>
      </c>
      <c r="C31" s="6">
        <f>40*16+16*28.5+11*7+9*23.25</f>
        <v>1382.25</v>
      </c>
      <c r="D31" s="4">
        <v>4</v>
      </c>
      <c r="E31" s="4">
        <v>4</v>
      </c>
      <c r="F31" s="118"/>
      <c r="G31" s="4">
        <v>1977</v>
      </c>
    </row>
    <row r="32" spans="1:7" x14ac:dyDescent="0.25">
      <c r="A32" s="2">
        <v>28</v>
      </c>
      <c r="B32" s="3" t="s">
        <v>22</v>
      </c>
      <c r="C32" s="6">
        <f>16*75</f>
        <v>1200</v>
      </c>
      <c r="D32" s="4">
        <v>4</v>
      </c>
      <c r="E32" s="4">
        <v>4</v>
      </c>
      <c r="F32" s="118"/>
      <c r="G32" s="4">
        <v>2002</v>
      </c>
    </row>
    <row r="33" spans="1:7" x14ac:dyDescent="0.25">
      <c r="A33" s="2">
        <v>29</v>
      </c>
      <c r="B33" s="3" t="s">
        <v>23</v>
      </c>
      <c r="C33" s="6">
        <f>60*29</f>
        <v>1740</v>
      </c>
      <c r="D33" s="4">
        <v>4</v>
      </c>
      <c r="E33" s="4">
        <v>4</v>
      </c>
      <c r="F33" s="118"/>
      <c r="G33" s="4">
        <v>1977</v>
      </c>
    </row>
    <row r="34" spans="1:7" x14ac:dyDescent="0.25">
      <c r="A34" s="2">
        <v>30</v>
      </c>
      <c r="B34" s="3" t="s">
        <v>24</v>
      </c>
      <c r="C34" s="6">
        <f>18*13.5+12.3*6</f>
        <v>316.8</v>
      </c>
      <c r="D34" s="4">
        <v>4</v>
      </c>
      <c r="E34" s="4">
        <v>4</v>
      </c>
      <c r="F34" s="118"/>
      <c r="G34" s="4">
        <v>1996</v>
      </c>
    </row>
    <row r="35" spans="1:7" x14ac:dyDescent="0.25">
      <c r="A35" s="2">
        <v>31</v>
      </c>
      <c r="B35" s="3" t="s">
        <v>25</v>
      </c>
      <c r="C35" s="6">
        <f>5.3*22+20*5</f>
        <v>216.6</v>
      </c>
      <c r="D35" s="4">
        <v>4</v>
      </c>
      <c r="E35" s="4">
        <v>4</v>
      </c>
      <c r="F35" s="118"/>
      <c r="G35" s="4">
        <v>1979</v>
      </c>
    </row>
    <row r="36" spans="1:7" x14ac:dyDescent="0.25">
      <c r="A36" s="2">
        <v>32</v>
      </c>
      <c r="B36" s="3" t="s">
        <v>26</v>
      </c>
      <c r="C36" s="6">
        <f>72.25*7</f>
        <v>505.75</v>
      </c>
      <c r="D36" s="4">
        <v>5</v>
      </c>
      <c r="E36" s="4">
        <v>5</v>
      </c>
      <c r="F36" s="119"/>
      <c r="G36" s="4">
        <v>1983</v>
      </c>
    </row>
    <row r="37" spans="1:7" ht="45" x14ac:dyDescent="0.25">
      <c r="A37" s="18">
        <v>33</v>
      </c>
      <c r="B37" s="22" t="s">
        <v>60</v>
      </c>
      <c r="C37" s="18">
        <f>61*25</f>
        <v>1525</v>
      </c>
      <c r="D37" s="18">
        <v>4</v>
      </c>
      <c r="E37" s="120">
        <v>8</v>
      </c>
      <c r="F37" s="19" t="s">
        <v>73</v>
      </c>
      <c r="G37" s="18">
        <v>1977</v>
      </c>
    </row>
    <row r="38" spans="1:7" ht="75" x14ac:dyDescent="0.25">
      <c r="A38" s="18">
        <v>34</v>
      </c>
      <c r="B38" s="22" t="s">
        <v>59</v>
      </c>
      <c r="C38" s="18">
        <f>61*25</f>
        <v>1525</v>
      </c>
      <c r="D38" s="18">
        <v>4</v>
      </c>
      <c r="E38" s="120"/>
      <c r="F38" s="21" t="s">
        <v>75</v>
      </c>
      <c r="G38" s="18">
        <v>1977</v>
      </c>
    </row>
    <row r="39" spans="1:7" ht="45" x14ac:dyDescent="0.25">
      <c r="A39" s="18">
        <v>35</v>
      </c>
      <c r="B39" s="22" t="s">
        <v>87</v>
      </c>
      <c r="C39" s="18">
        <f>30*15</f>
        <v>450</v>
      </c>
      <c r="D39" s="18">
        <v>4</v>
      </c>
      <c r="E39" s="123">
        <v>8</v>
      </c>
      <c r="F39" s="19" t="s">
        <v>73</v>
      </c>
      <c r="G39" s="18">
        <v>1993</v>
      </c>
    </row>
    <row r="40" spans="1:7" x14ac:dyDescent="0.25">
      <c r="A40" s="2">
        <v>36</v>
      </c>
      <c r="B40" s="22" t="s">
        <v>89</v>
      </c>
      <c r="C40" s="18">
        <f>30*15</f>
        <v>450</v>
      </c>
      <c r="D40" s="18">
        <v>4</v>
      </c>
      <c r="E40" s="124"/>
      <c r="F40" s="121" t="s">
        <v>75</v>
      </c>
      <c r="G40" s="18">
        <v>1993</v>
      </c>
    </row>
    <row r="41" spans="1:7" x14ac:dyDescent="0.25">
      <c r="A41" s="2">
        <v>37</v>
      </c>
      <c r="B41" s="22" t="s">
        <v>28</v>
      </c>
      <c r="C41" s="18">
        <f>19*7</f>
        <v>133</v>
      </c>
      <c r="D41" s="18">
        <v>4</v>
      </c>
      <c r="E41" s="18">
        <v>4</v>
      </c>
      <c r="F41" s="122"/>
      <c r="G41" s="18">
        <v>1977</v>
      </c>
    </row>
    <row r="42" spans="1:7" x14ac:dyDescent="0.25">
      <c r="A42" s="2">
        <v>38</v>
      </c>
      <c r="B42" s="22" t="s">
        <v>27</v>
      </c>
      <c r="C42" s="25">
        <f>32.6*38.701</f>
        <v>1261.6526000000001</v>
      </c>
      <c r="D42" s="18">
        <v>4</v>
      </c>
      <c r="E42" s="18">
        <v>4</v>
      </c>
      <c r="F42" s="122"/>
      <c r="G42" s="18">
        <v>1983</v>
      </c>
    </row>
    <row r="43" spans="1:7" x14ac:dyDescent="0.25">
      <c r="A43" s="2">
        <v>39</v>
      </c>
      <c r="B43" s="22" t="s">
        <v>29</v>
      </c>
      <c r="C43" s="25">
        <f>22.5*7</f>
        <v>157.5</v>
      </c>
      <c r="D43" s="18">
        <v>4</v>
      </c>
      <c r="E43" s="18">
        <v>4</v>
      </c>
      <c r="F43" s="122"/>
      <c r="G43" s="18">
        <v>1984</v>
      </c>
    </row>
    <row r="44" spans="1:7" ht="75" x14ac:dyDescent="0.25">
      <c r="A44" s="18">
        <v>40</v>
      </c>
      <c r="B44" s="22" t="s">
        <v>30</v>
      </c>
      <c r="C44" s="25">
        <f>53*19+20*45+20*60+70*20*2</f>
        <v>5907</v>
      </c>
      <c r="D44" s="18">
        <v>4.5</v>
      </c>
      <c r="E44" s="18">
        <v>4.5</v>
      </c>
      <c r="F44" s="21" t="s">
        <v>88</v>
      </c>
      <c r="G44" s="18">
        <v>2011</v>
      </c>
    </row>
    <row r="45" spans="1:7" ht="15" customHeight="1" x14ac:dyDescent="0.25">
      <c r="A45" s="2">
        <v>41</v>
      </c>
      <c r="B45" s="3" t="s">
        <v>61</v>
      </c>
      <c r="C45" s="6">
        <f>24*11*2+11.5*8.5</f>
        <v>625.75</v>
      </c>
      <c r="D45" s="4">
        <v>3.5</v>
      </c>
      <c r="E45" s="120">
        <v>11</v>
      </c>
      <c r="F45" s="117" t="s">
        <v>73</v>
      </c>
      <c r="G45" s="4">
        <v>1991</v>
      </c>
    </row>
    <row r="46" spans="1:7" x14ac:dyDescent="0.25">
      <c r="A46" s="2">
        <v>42</v>
      </c>
      <c r="B46" s="3" t="s">
        <v>62</v>
      </c>
      <c r="C46" s="6">
        <f>24*11*2+11.5*8.5</f>
        <v>625.75</v>
      </c>
      <c r="D46" s="4">
        <v>3.5</v>
      </c>
      <c r="E46" s="120"/>
      <c r="F46" s="118"/>
      <c r="G46" s="4">
        <v>1991</v>
      </c>
    </row>
    <row r="47" spans="1:7" x14ac:dyDescent="0.25">
      <c r="A47" s="2">
        <v>43</v>
      </c>
      <c r="B47" s="3" t="s">
        <v>63</v>
      </c>
      <c r="C47" s="6">
        <f>11.5*8.5</f>
        <v>97.75</v>
      </c>
      <c r="D47" s="4">
        <v>3.5</v>
      </c>
      <c r="E47" s="120"/>
      <c r="F47" s="119"/>
      <c r="G47" s="4">
        <v>1991</v>
      </c>
    </row>
    <row r="48" spans="1:7" x14ac:dyDescent="0.25">
      <c r="A48" s="2">
        <v>44</v>
      </c>
      <c r="B48" s="22" t="s">
        <v>98</v>
      </c>
      <c r="C48" s="18">
        <v>800</v>
      </c>
      <c r="D48" s="18">
        <v>4</v>
      </c>
      <c r="E48" s="123">
        <v>8</v>
      </c>
      <c r="F48" s="117" t="s">
        <v>73</v>
      </c>
      <c r="G48" s="18">
        <v>1993</v>
      </c>
    </row>
    <row r="49" spans="1:7" x14ac:dyDescent="0.25">
      <c r="A49" s="18">
        <v>45</v>
      </c>
      <c r="B49" s="22" t="s">
        <v>99</v>
      </c>
      <c r="C49" s="18">
        <v>800</v>
      </c>
      <c r="D49" s="18">
        <v>4</v>
      </c>
      <c r="E49" s="124"/>
      <c r="F49" s="119"/>
      <c r="G49" s="18">
        <v>1993</v>
      </c>
    </row>
    <row r="50" spans="1:7" x14ac:dyDescent="0.25">
      <c r="A50" s="2">
        <v>46</v>
      </c>
      <c r="B50" s="3" t="s">
        <v>64</v>
      </c>
      <c r="C50" s="6">
        <f>19.5*7.5+18.5*7.5</f>
        <v>285</v>
      </c>
      <c r="D50" s="4">
        <v>3</v>
      </c>
      <c r="E50" s="120">
        <v>6</v>
      </c>
      <c r="F50" s="117" t="s">
        <v>73</v>
      </c>
      <c r="G50" s="4">
        <v>1977</v>
      </c>
    </row>
    <row r="51" spans="1:7" x14ac:dyDescent="0.25">
      <c r="A51" s="2">
        <v>47</v>
      </c>
      <c r="B51" s="3" t="s">
        <v>65</v>
      </c>
      <c r="C51" s="6">
        <f>4*16</f>
        <v>64</v>
      </c>
      <c r="D51" s="4">
        <v>3</v>
      </c>
      <c r="E51" s="120"/>
      <c r="F51" s="119"/>
      <c r="G51" s="4">
        <v>1977</v>
      </c>
    </row>
    <row r="52" spans="1:7" ht="45" x14ac:dyDescent="0.25">
      <c r="A52" s="2">
        <v>48</v>
      </c>
      <c r="B52" s="22" t="s">
        <v>31</v>
      </c>
      <c r="C52" s="25">
        <f>11.75*9.5</f>
        <v>111.625</v>
      </c>
      <c r="D52" s="18">
        <v>3</v>
      </c>
      <c r="E52" s="18">
        <v>3</v>
      </c>
      <c r="F52" s="19" t="s">
        <v>73</v>
      </c>
      <c r="G52" s="18">
        <v>1984</v>
      </c>
    </row>
    <row r="53" spans="1:7" x14ac:dyDescent="0.25">
      <c r="A53" s="2">
        <v>49</v>
      </c>
      <c r="B53" s="3" t="s">
        <v>32</v>
      </c>
      <c r="C53" s="6">
        <f>135*15+70*25</f>
        <v>3775</v>
      </c>
      <c r="D53" s="4">
        <v>4.5</v>
      </c>
      <c r="E53" s="4">
        <v>4.5</v>
      </c>
      <c r="F53" s="117" t="s">
        <v>74</v>
      </c>
      <c r="G53" s="4">
        <v>1993</v>
      </c>
    </row>
    <row r="54" spans="1:7" x14ac:dyDescent="0.25">
      <c r="A54" s="18">
        <v>50</v>
      </c>
      <c r="B54" s="3" t="s">
        <v>33</v>
      </c>
      <c r="C54" s="6">
        <f>50*28</f>
        <v>1400</v>
      </c>
      <c r="D54" s="4">
        <v>4.5</v>
      </c>
      <c r="E54" s="4">
        <v>4.5</v>
      </c>
      <c r="F54" s="118"/>
      <c r="G54" s="4">
        <v>2014</v>
      </c>
    </row>
    <row r="55" spans="1:7" x14ac:dyDescent="0.25">
      <c r="A55" s="2">
        <v>51</v>
      </c>
      <c r="B55" s="3" t="s">
        <v>34</v>
      </c>
      <c r="C55" s="6">
        <f>80*10</f>
        <v>800</v>
      </c>
      <c r="D55" s="4">
        <v>4.5</v>
      </c>
      <c r="E55" s="4">
        <v>4.5</v>
      </c>
      <c r="F55" s="119"/>
      <c r="G55" s="4">
        <v>2003</v>
      </c>
    </row>
    <row r="56" spans="1:7" ht="45" x14ac:dyDescent="0.25">
      <c r="A56" s="18">
        <v>52</v>
      </c>
      <c r="B56" s="22" t="s">
        <v>2</v>
      </c>
      <c r="C56" s="25">
        <f>9.5*11.75</f>
        <v>111.625</v>
      </c>
      <c r="D56" s="18">
        <v>3</v>
      </c>
      <c r="E56" s="18">
        <v>3</v>
      </c>
      <c r="F56" s="19" t="s">
        <v>73</v>
      </c>
      <c r="G56" s="18">
        <v>2003</v>
      </c>
    </row>
    <row r="57" spans="1:7" ht="15.75" x14ac:dyDescent="0.25">
      <c r="A57" s="5"/>
      <c r="C57" s="7">
        <f>SUM(C5:C56)</f>
        <v>96910.152600000016</v>
      </c>
      <c r="D57" s="4"/>
      <c r="E57" s="4"/>
      <c r="F57" s="5"/>
      <c r="G57" s="4"/>
    </row>
  </sheetData>
  <mergeCells count="22">
    <mergeCell ref="E11:E13"/>
    <mergeCell ref="E14:E15"/>
    <mergeCell ref="F5:F6"/>
    <mergeCell ref="E8:E10"/>
    <mergeCell ref="F26:F27"/>
    <mergeCell ref="F23:F25"/>
    <mergeCell ref="F18:F21"/>
    <mergeCell ref="F11:F12"/>
    <mergeCell ref="F7:F9"/>
    <mergeCell ref="F15:F16"/>
    <mergeCell ref="F53:F55"/>
    <mergeCell ref="F50:F51"/>
    <mergeCell ref="F45:F47"/>
    <mergeCell ref="F29:F36"/>
    <mergeCell ref="E26:E27"/>
    <mergeCell ref="E50:E51"/>
    <mergeCell ref="E45:E47"/>
    <mergeCell ref="E37:E38"/>
    <mergeCell ref="F40:F43"/>
    <mergeCell ref="E39:E40"/>
    <mergeCell ref="E48:E49"/>
    <mergeCell ref="F48:F49"/>
  </mergeCells>
  <pageMargins left="0.70866141732283472" right="0.70866141732283472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57"/>
  <sheetViews>
    <sheetView topLeftCell="B1" zoomScaleNormal="100" workbookViewId="0">
      <selection activeCell="D44" sqref="D44"/>
    </sheetView>
  </sheetViews>
  <sheetFormatPr defaultRowHeight="15" x14ac:dyDescent="0.25"/>
  <cols>
    <col min="2" max="2" width="7" customWidth="1"/>
    <col min="3" max="3" width="13.7109375" customWidth="1"/>
    <col min="4" max="4" width="29.140625" style="47" customWidth="1"/>
    <col min="5" max="5" width="31.7109375" style="47" customWidth="1"/>
    <col min="6" max="6" width="11.28515625" style="24" hidden="1" customWidth="1"/>
    <col min="7" max="7" width="12" style="24" customWidth="1"/>
    <col min="8" max="8" width="8.85546875" style="24" hidden="1" customWidth="1"/>
    <col min="9" max="9" width="8" style="24" customWidth="1"/>
    <col min="10" max="10" width="12.42578125" style="24" customWidth="1"/>
    <col min="11" max="11" width="9.7109375" style="24" customWidth="1"/>
    <col min="12" max="12" width="10.140625" style="24" hidden="1" customWidth="1"/>
    <col min="13" max="13" width="10.85546875" style="24" customWidth="1"/>
    <col min="14" max="14" width="8.5703125" style="24" hidden="1" customWidth="1"/>
    <col min="15" max="15" width="12.5703125" style="24" hidden="1" customWidth="1"/>
    <col min="16" max="16" width="10.7109375" customWidth="1"/>
    <col min="17" max="17" width="14.42578125" customWidth="1"/>
    <col min="18" max="19" width="15.7109375" hidden="1" customWidth="1"/>
    <col min="20" max="20" width="11.140625" hidden="1" customWidth="1"/>
    <col min="21" max="21" width="18" customWidth="1"/>
  </cols>
  <sheetData>
    <row r="3" spans="2:21" ht="15.75" x14ac:dyDescent="0.25">
      <c r="B3" s="132" t="s">
        <v>127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4"/>
    </row>
    <row r="4" spans="2:21" ht="60" x14ac:dyDescent="0.25">
      <c r="B4" s="34" t="s">
        <v>101</v>
      </c>
      <c r="C4" s="34" t="s">
        <v>102</v>
      </c>
      <c r="D4" s="35" t="s">
        <v>103</v>
      </c>
      <c r="E4" s="35" t="s">
        <v>83</v>
      </c>
      <c r="F4" s="35" t="s">
        <v>104</v>
      </c>
      <c r="G4" s="35" t="s">
        <v>105</v>
      </c>
      <c r="H4" s="35" t="s">
        <v>124</v>
      </c>
      <c r="I4" s="35" t="s">
        <v>106</v>
      </c>
      <c r="J4" s="35" t="s">
        <v>84</v>
      </c>
      <c r="K4" s="35" t="s">
        <v>107</v>
      </c>
      <c r="L4" s="35" t="s">
        <v>108</v>
      </c>
      <c r="M4" s="35" t="s">
        <v>109</v>
      </c>
      <c r="N4" s="35" t="s">
        <v>110</v>
      </c>
      <c r="O4" s="35" t="s">
        <v>111</v>
      </c>
      <c r="P4" s="35" t="s">
        <v>112</v>
      </c>
      <c r="Q4" s="35" t="s">
        <v>113</v>
      </c>
      <c r="R4" s="35" t="s">
        <v>114</v>
      </c>
      <c r="S4" s="35" t="s">
        <v>115</v>
      </c>
      <c r="T4" s="35" t="s">
        <v>116</v>
      </c>
      <c r="U4" s="35" t="s">
        <v>117</v>
      </c>
    </row>
    <row r="5" spans="2:21" s="45" customFormat="1" ht="19.5" customHeight="1" x14ac:dyDescent="0.25">
      <c r="B5" s="36">
        <v>1</v>
      </c>
      <c r="C5" s="30" t="s">
        <v>118</v>
      </c>
      <c r="D5" s="19" t="s">
        <v>7</v>
      </c>
      <c r="E5" s="121" t="s">
        <v>75</v>
      </c>
      <c r="F5" s="30">
        <f>21*100</f>
        <v>2100</v>
      </c>
      <c r="G5" s="23">
        <f>10.764*F5</f>
        <v>22604.399999999998</v>
      </c>
      <c r="H5" s="30">
        <v>4.5</v>
      </c>
      <c r="I5" s="23">
        <f>3.28*H5</f>
        <v>14.76</v>
      </c>
      <c r="J5" s="69">
        <v>1977</v>
      </c>
      <c r="K5" s="30">
        <v>2022</v>
      </c>
      <c r="L5" s="30">
        <f>K5-J5</f>
        <v>45</v>
      </c>
      <c r="M5" s="30">
        <v>40</v>
      </c>
      <c r="N5" s="37">
        <v>0.1</v>
      </c>
      <c r="O5" s="38">
        <f>(1-N5)/M5</f>
        <v>2.2499999999999999E-2</v>
      </c>
      <c r="P5" s="41">
        <v>1200</v>
      </c>
      <c r="Q5" s="41">
        <f>P5*G5</f>
        <v>27125279.999999996</v>
      </c>
      <c r="R5" s="42">
        <f t="shared" ref="R5:R56" si="0">Q5*O5*L5</f>
        <v>27464345.999999996</v>
      </c>
      <c r="S5" s="41">
        <f t="shared" ref="S5:S56" si="1">MAX(Q5-R5,0)</f>
        <v>0</v>
      </c>
      <c r="T5" s="43">
        <v>0</v>
      </c>
      <c r="U5" s="41">
        <f>IF(S5&gt;N5*Q5,S5*(1-T5),Q5*N5)</f>
        <v>2712528</v>
      </c>
    </row>
    <row r="6" spans="2:21" ht="39" customHeight="1" x14ac:dyDescent="0.25">
      <c r="B6" s="36">
        <v>2</v>
      </c>
      <c r="C6" s="30" t="s">
        <v>118</v>
      </c>
      <c r="D6" s="16" t="s">
        <v>19</v>
      </c>
      <c r="E6" s="125"/>
      <c r="F6" s="2">
        <f>21*25</f>
        <v>525</v>
      </c>
      <c r="G6" s="23">
        <f t="shared" ref="G6:G56" si="2">10.764*F6</f>
        <v>5651.0999999999995</v>
      </c>
      <c r="H6" s="69">
        <v>4.5</v>
      </c>
      <c r="I6" s="23">
        <f t="shared" ref="I6:I56" si="3">3.28*H6</f>
        <v>14.76</v>
      </c>
      <c r="J6" s="69">
        <v>1983</v>
      </c>
      <c r="K6" s="30">
        <v>2022</v>
      </c>
      <c r="L6" s="30">
        <f t="shared" ref="L6:L56" si="4">K6-J6</f>
        <v>39</v>
      </c>
      <c r="M6" s="30">
        <v>40</v>
      </c>
      <c r="N6" s="37">
        <v>0.1</v>
      </c>
      <c r="O6" s="38">
        <f t="shared" ref="O6:O56" si="5">(1-N6)/M6</f>
        <v>2.2499999999999999E-2</v>
      </c>
      <c r="P6" s="41">
        <v>1200</v>
      </c>
      <c r="Q6" s="41">
        <f t="shared" ref="Q6:Q56" si="6">P6*G6</f>
        <v>6781319.9999999991</v>
      </c>
      <c r="R6" s="42">
        <f t="shared" si="0"/>
        <v>5950608.2999999989</v>
      </c>
      <c r="S6" s="41">
        <f t="shared" si="1"/>
        <v>830711.70000000019</v>
      </c>
      <c r="T6" s="43">
        <v>0</v>
      </c>
      <c r="U6" s="41">
        <f t="shared" ref="U6:U56" si="7">IF(S6&gt;N6*Q6,S6*(1-T6),Q6*N6)</f>
        <v>830711.70000000019</v>
      </c>
    </row>
    <row r="7" spans="2:21" x14ac:dyDescent="0.25">
      <c r="B7" s="36">
        <v>3</v>
      </c>
      <c r="C7" s="30" t="s">
        <v>118</v>
      </c>
      <c r="D7" s="16" t="s">
        <v>8</v>
      </c>
      <c r="E7" s="121" t="s">
        <v>73</v>
      </c>
      <c r="F7" s="2">
        <f>60*15.5</f>
        <v>930</v>
      </c>
      <c r="G7" s="23">
        <f t="shared" si="2"/>
        <v>10010.519999999999</v>
      </c>
      <c r="H7" s="4">
        <v>4.5</v>
      </c>
      <c r="I7" s="23">
        <f t="shared" si="3"/>
        <v>14.76</v>
      </c>
      <c r="J7" s="4">
        <v>1993</v>
      </c>
      <c r="K7" s="30">
        <v>2022</v>
      </c>
      <c r="L7" s="30">
        <f t="shared" si="4"/>
        <v>29</v>
      </c>
      <c r="M7" s="30">
        <v>60</v>
      </c>
      <c r="N7" s="37">
        <v>0.1</v>
      </c>
      <c r="O7" s="38">
        <f t="shared" si="5"/>
        <v>1.5000000000000001E-2</v>
      </c>
      <c r="P7" s="41">
        <v>1400</v>
      </c>
      <c r="Q7" s="41">
        <f t="shared" si="6"/>
        <v>14014727.999999998</v>
      </c>
      <c r="R7" s="42">
        <f t="shared" si="0"/>
        <v>6096406.6799999997</v>
      </c>
      <c r="S7" s="41">
        <f t="shared" si="1"/>
        <v>7918321.3199999984</v>
      </c>
      <c r="T7" s="43">
        <v>0</v>
      </c>
      <c r="U7" s="41">
        <f t="shared" si="7"/>
        <v>7918321.3199999984</v>
      </c>
    </row>
    <row r="8" spans="2:21" x14ac:dyDescent="0.25">
      <c r="B8" s="36">
        <v>4</v>
      </c>
      <c r="C8" s="30" t="s">
        <v>118</v>
      </c>
      <c r="D8" s="16" t="s">
        <v>6</v>
      </c>
      <c r="E8" s="122"/>
      <c r="F8" s="2">
        <f>77*42</f>
        <v>3234</v>
      </c>
      <c r="G8" s="23">
        <f t="shared" si="2"/>
        <v>34810.775999999998</v>
      </c>
      <c r="H8" s="4">
        <v>6</v>
      </c>
      <c r="I8" s="23">
        <f t="shared" si="3"/>
        <v>19.68</v>
      </c>
      <c r="J8" s="4">
        <v>1977</v>
      </c>
      <c r="K8" s="30">
        <v>2022</v>
      </c>
      <c r="L8" s="30">
        <f t="shared" si="4"/>
        <v>45</v>
      </c>
      <c r="M8" s="30">
        <v>60</v>
      </c>
      <c r="N8" s="37">
        <v>0.1</v>
      </c>
      <c r="O8" s="38">
        <f t="shared" si="5"/>
        <v>1.5000000000000001E-2</v>
      </c>
      <c r="P8" s="41">
        <v>1400</v>
      </c>
      <c r="Q8" s="41">
        <f t="shared" si="6"/>
        <v>48735086.399999999</v>
      </c>
      <c r="R8" s="42">
        <f t="shared" si="0"/>
        <v>32896183.320000004</v>
      </c>
      <c r="S8" s="41">
        <f t="shared" si="1"/>
        <v>15838903.079999994</v>
      </c>
      <c r="T8" s="43">
        <v>0</v>
      </c>
      <c r="U8" s="41">
        <f t="shared" si="7"/>
        <v>15838903.079999994</v>
      </c>
    </row>
    <row r="9" spans="2:21" x14ac:dyDescent="0.25">
      <c r="B9" s="36">
        <v>5</v>
      </c>
      <c r="C9" s="30" t="s">
        <v>121</v>
      </c>
      <c r="D9" s="16" t="s">
        <v>9</v>
      </c>
      <c r="E9" s="125"/>
      <c r="F9" s="2">
        <f>77*42</f>
        <v>3234</v>
      </c>
      <c r="G9" s="23">
        <f t="shared" si="2"/>
        <v>34810.775999999998</v>
      </c>
      <c r="H9" s="4">
        <v>6</v>
      </c>
      <c r="I9" s="23">
        <f t="shared" si="3"/>
        <v>19.68</v>
      </c>
      <c r="J9" s="4">
        <v>1977</v>
      </c>
      <c r="K9" s="30">
        <v>2022</v>
      </c>
      <c r="L9" s="30">
        <f t="shared" si="4"/>
        <v>45</v>
      </c>
      <c r="M9" s="30">
        <v>60</v>
      </c>
      <c r="N9" s="37">
        <v>0.1</v>
      </c>
      <c r="O9" s="38">
        <f t="shared" si="5"/>
        <v>1.5000000000000001E-2</v>
      </c>
      <c r="P9" s="41">
        <v>1400</v>
      </c>
      <c r="Q9" s="41">
        <f t="shared" si="6"/>
        <v>48735086.399999999</v>
      </c>
      <c r="R9" s="42">
        <f t="shared" si="0"/>
        <v>32896183.320000004</v>
      </c>
      <c r="S9" s="41">
        <f t="shared" si="1"/>
        <v>15838903.079999994</v>
      </c>
      <c r="T9" s="43">
        <v>0</v>
      </c>
      <c r="U9" s="41">
        <f t="shared" si="7"/>
        <v>15838903.079999994</v>
      </c>
    </row>
    <row r="10" spans="2:21" ht="18" customHeight="1" x14ac:dyDescent="0.25">
      <c r="B10" s="36">
        <v>6</v>
      </c>
      <c r="C10" s="30" t="s">
        <v>122</v>
      </c>
      <c r="D10" s="19" t="s">
        <v>10</v>
      </c>
      <c r="E10" s="16" t="s">
        <v>75</v>
      </c>
      <c r="F10" s="30">
        <f>77*42</f>
        <v>3234</v>
      </c>
      <c r="G10" s="23">
        <f t="shared" si="2"/>
        <v>34810.775999999998</v>
      </c>
      <c r="H10" s="30">
        <v>6</v>
      </c>
      <c r="I10" s="23">
        <f t="shared" si="3"/>
        <v>19.68</v>
      </c>
      <c r="J10" s="69">
        <v>1977</v>
      </c>
      <c r="K10" s="30">
        <v>2022</v>
      </c>
      <c r="L10" s="30">
        <f t="shared" si="4"/>
        <v>45</v>
      </c>
      <c r="M10" s="30">
        <v>40</v>
      </c>
      <c r="N10" s="37">
        <v>0.1</v>
      </c>
      <c r="O10" s="38">
        <f t="shared" si="5"/>
        <v>2.2499999999999999E-2</v>
      </c>
      <c r="P10" s="41">
        <v>1200</v>
      </c>
      <c r="Q10" s="41">
        <f t="shared" si="6"/>
        <v>41772931.199999996</v>
      </c>
      <c r="R10" s="42">
        <f t="shared" si="0"/>
        <v>42295092.839999989</v>
      </c>
      <c r="S10" s="41">
        <f t="shared" si="1"/>
        <v>0</v>
      </c>
      <c r="T10" s="43">
        <v>0</v>
      </c>
      <c r="U10" s="41">
        <f t="shared" si="7"/>
        <v>4177293.1199999996</v>
      </c>
    </row>
    <row r="11" spans="2:21" x14ac:dyDescent="0.25">
      <c r="B11" s="36">
        <v>7</v>
      </c>
      <c r="C11" s="30" t="s">
        <v>118</v>
      </c>
      <c r="D11" s="16" t="s">
        <v>85</v>
      </c>
      <c r="E11" s="121" t="s">
        <v>73</v>
      </c>
      <c r="F11" s="2">
        <f>42*25</f>
        <v>1050</v>
      </c>
      <c r="G11" s="23">
        <f t="shared" si="2"/>
        <v>11302.199999999999</v>
      </c>
      <c r="H11" s="4">
        <v>6</v>
      </c>
      <c r="I11" s="23">
        <f t="shared" si="3"/>
        <v>19.68</v>
      </c>
      <c r="J11" s="4">
        <v>1983</v>
      </c>
      <c r="K11" s="30">
        <v>2022</v>
      </c>
      <c r="L11" s="30">
        <f t="shared" si="4"/>
        <v>39</v>
      </c>
      <c r="M11" s="30">
        <v>60</v>
      </c>
      <c r="N11" s="37">
        <v>0.1</v>
      </c>
      <c r="O11" s="38">
        <f t="shared" si="5"/>
        <v>1.5000000000000001E-2</v>
      </c>
      <c r="P11" s="41">
        <v>1400</v>
      </c>
      <c r="Q11" s="41">
        <f t="shared" si="6"/>
        <v>15823079.999999998</v>
      </c>
      <c r="R11" s="42">
        <f t="shared" si="0"/>
        <v>9256501.7999999989</v>
      </c>
      <c r="S11" s="41">
        <f t="shared" si="1"/>
        <v>6566578.1999999993</v>
      </c>
      <c r="T11" s="43">
        <v>0</v>
      </c>
      <c r="U11" s="41">
        <f t="shared" si="7"/>
        <v>6566578.1999999993</v>
      </c>
    </row>
    <row r="12" spans="2:21" x14ac:dyDescent="0.25">
      <c r="B12" s="36">
        <v>8</v>
      </c>
      <c r="C12" s="30" t="s">
        <v>123</v>
      </c>
      <c r="D12" s="16" t="s">
        <v>9</v>
      </c>
      <c r="E12" s="125"/>
      <c r="F12" s="2">
        <f>42*25</f>
        <v>1050</v>
      </c>
      <c r="G12" s="23">
        <f t="shared" si="2"/>
        <v>11302.199999999999</v>
      </c>
      <c r="H12" s="4">
        <v>6</v>
      </c>
      <c r="I12" s="23">
        <f t="shared" si="3"/>
        <v>19.68</v>
      </c>
      <c r="J12" s="4">
        <v>1983</v>
      </c>
      <c r="K12" s="30">
        <v>2022</v>
      </c>
      <c r="L12" s="30">
        <f t="shared" si="4"/>
        <v>39</v>
      </c>
      <c r="M12" s="30">
        <v>60</v>
      </c>
      <c r="N12" s="37">
        <v>0.1</v>
      </c>
      <c r="O12" s="38">
        <f t="shared" si="5"/>
        <v>1.5000000000000001E-2</v>
      </c>
      <c r="P12" s="41">
        <v>1400</v>
      </c>
      <c r="Q12" s="41">
        <f t="shared" si="6"/>
        <v>15823079.999999998</v>
      </c>
      <c r="R12" s="42">
        <f t="shared" si="0"/>
        <v>9256501.7999999989</v>
      </c>
      <c r="S12" s="41">
        <f t="shared" si="1"/>
        <v>6566578.1999999993</v>
      </c>
      <c r="T12" s="43">
        <v>0</v>
      </c>
      <c r="U12" s="41">
        <f t="shared" si="7"/>
        <v>6566578.1999999993</v>
      </c>
    </row>
    <row r="13" spans="2:21" s="24" customFormat="1" ht="45" customHeight="1" x14ac:dyDescent="0.25">
      <c r="B13" s="36">
        <v>9</v>
      </c>
      <c r="C13" s="30" t="s">
        <v>122</v>
      </c>
      <c r="D13" s="19" t="s">
        <v>10</v>
      </c>
      <c r="E13" s="31" t="s">
        <v>75</v>
      </c>
      <c r="F13" s="30">
        <f>42*25</f>
        <v>1050</v>
      </c>
      <c r="G13" s="23">
        <f t="shared" si="2"/>
        <v>11302.199999999999</v>
      </c>
      <c r="H13" s="30">
        <v>6</v>
      </c>
      <c r="I13" s="23">
        <f t="shared" si="3"/>
        <v>19.68</v>
      </c>
      <c r="J13" s="69">
        <v>1983</v>
      </c>
      <c r="K13" s="30">
        <v>2022</v>
      </c>
      <c r="L13" s="30">
        <f t="shared" si="4"/>
        <v>39</v>
      </c>
      <c r="M13" s="30">
        <v>40</v>
      </c>
      <c r="N13" s="37">
        <v>0.1</v>
      </c>
      <c r="O13" s="38">
        <f t="shared" si="5"/>
        <v>2.2499999999999999E-2</v>
      </c>
      <c r="P13" s="41">
        <v>1200</v>
      </c>
      <c r="Q13" s="41">
        <f t="shared" si="6"/>
        <v>13562639.999999998</v>
      </c>
      <c r="R13" s="42">
        <f t="shared" si="0"/>
        <v>11901216.599999998</v>
      </c>
      <c r="S13" s="41">
        <f t="shared" si="1"/>
        <v>1661423.4000000004</v>
      </c>
      <c r="T13" s="43">
        <v>0</v>
      </c>
      <c r="U13" s="41">
        <f t="shared" si="7"/>
        <v>1661423.4000000004</v>
      </c>
    </row>
    <row r="14" spans="2:21" ht="28.5" customHeight="1" x14ac:dyDescent="0.25">
      <c r="B14" s="36">
        <v>10</v>
      </c>
      <c r="C14" s="30" t="s">
        <v>118</v>
      </c>
      <c r="D14" s="19" t="s">
        <v>86</v>
      </c>
      <c r="E14" s="32" t="s">
        <v>73</v>
      </c>
      <c r="F14" s="30">
        <f>42.5*10</f>
        <v>425</v>
      </c>
      <c r="G14" s="23">
        <f t="shared" si="2"/>
        <v>4574.7</v>
      </c>
      <c r="H14" s="30">
        <v>6</v>
      </c>
      <c r="I14" s="23">
        <f t="shared" si="3"/>
        <v>19.68</v>
      </c>
      <c r="J14" s="69">
        <v>2014</v>
      </c>
      <c r="K14" s="30">
        <v>2022</v>
      </c>
      <c r="L14" s="30">
        <f t="shared" si="4"/>
        <v>8</v>
      </c>
      <c r="M14" s="30">
        <v>60</v>
      </c>
      <c r="N14" s="37">
        <v>0.1</v>
      </c>
      <c r="O14" s="38">
        <f t="shared" si="5"/>
        <v>1.5000000000000001E-2</v>
      </c>
      <c r="P14" s="41">
        <v>1400</v>
      </c>
      <c r="Q14" s="41">
        <f t="shared" si="6"/>
        <v>6404580</v>
      </c>
      <c r="R14" s="42">
        <f t="shared" si="0"/>
        <v>768549.60000000009</v>
      </c>
      <c r="S14" s="41">
        <f t="shared" si="1"/>
        <v>5636030.4000000004</v>
      </c>
      <c r="T14" s="43">
        <v>0</v>
      </c>
      <c r="U14" s="41">
        <f t="shared" si="7"/>
        <v>5636030.4000000004</v>
      </c>
    </row>
    <row r="15" spans="2:21" x14ac:dyDescent="0.25">
      <c r="B15" s="36">
        <v>11</v>
      </c>
      <c r="C15" s="30" t="s">
        <v>121</v>
      </c>
      <c r="D15" s="19" t="s">
        <v>9</v>
      </c>
      <c r="E15" s="117" t="s">
        <v>75</v>
      </c>
      <c r="F15" s="30">
        <f>42.5*10</f>
        <v>425</v>
      </c>
      <c r="G15" s="23">
        <f t="shared" si="2"/>
        <v>4574.7</v>
      </c>
      <c r="H15" s="30">
        <v>6</v>
      </c>
      <c r="I15" s="23">
        <f t="shared" si="3"/>
        <v>19.68</v>
      </c>
      <c r="J15" s="69">
        <v>2014</v>
      </c>
      <c r="K15" s="30">
        <v>2022</v>
      </c>
      <c r="L15" s="30">
        <f t="shared" si="4"/>
        <v>8</v>
      </c>
      <c r="M15" s="30">
        <v>40</v>
      </c>
      <c r="N15" s="37">
        <v>0.1</v>
      </c>
      <c r="O15" s="38">
        <f t="shared" si="5"/>
        <v>2.2499999999999999E-2</v>
      </c>
      <c r="P15" s="41">
        <v>1200</v>
      </c>
      <c r="Q15" s="41">
        <f t="shared" si="6"/>
        <v>5489640</v>
      </c>
      <c r="R15" s="42">
        <f t="shared" si="0"/>
        <v>988135.2</v>
      </c>
      <c r="S15" s="41">
        <f t="shared" si="1"/>
        <v>4501504.8</v>
      </c>
      <c r="T15" s="43">
        <v>0</v>
      </c>
      <c r="U15" s="41">
        <f t="shared" si="7"/>
        <v>4501504.8</v>
      </c>
    </row>
    <row r="16" spans="2:21" ht="39" customHeight="1" x14ac:dyDescent="0.25">
      <c r="B16" s="36">
        <v>12</v>
      </c>
      <c r="C16" s="30" t="s">
        <v>118</v>
      </c>
      <c r="D16" s="16" t="s">
        <v>11</v>
      </c>
      <c r="E16" s="119"/>
      <c r="F16" s="2">
        <f>42*21+7*21</f>
        <v>1029</v>
      </c>
      <c r="G16" s="23">
        <f t="shared" si="2"/>
        <v>11076.155999999999</v>
      </c>
      <c r="H16" s="69">
        <v>10</v>
      </c>
      <c r="I16" s="23">
        <f t="shared" si="3"/>
        <v>32.799999999999997</v>
      </c>
      <c r="J16" s="69">
        <v>1977</v>
      </c>
      <c r="K16" s="30">
        <v>2022</v>
      </c>
      <c r="L16" s="30">
        <f t="shared" si="4"/>
        <v>45</v>
      </c>
      <c r="M16" s="30">
        <v>40</v>
      </c>
      <c r="N16" s="37">
        <v>0.1</v>
      </c>
      <c r="O16" s="38">
        <f t="shared" si="5"/>
        <v>2.2499999999999999E-2</v>
      </c>
      <c r="P16" s="41">
        <v>1400</v>
      </c>
      <c r="Q16" s="41">
        <f t="shared" si="6"/>
        <v>15506618.399999999</v>
      </c>
      <c r="R16" s="42">
        <f t="shared" si="0"/>
        <v>15700451.129999997</v>
      </c>
      <c r="S16" s="41">
        <f t="shared" si="1"/>
        <v>0</v>
      </c>
      <c r="T16" s="43">
        <v>0</v>
      </c>
      <c r="U16" s="41">
        <f t="shared" si="7"/>
        <v>1550661.8399999999</v>
      </c>
    </row>
    <row r="17" spans="2:21" hidden="1" x14ac:dyDescent="0.25">
      <c r="B17" s="36">
        <v>13</v>
      </c>
      <c r="C17" s="30" t="s">
        <v>118</v>
      </c>
      <c r="D17" s="48" t="s">
        <v>12</v>
      </c>
      <c r="E17" s="46"/>
      <c r="F17" s="2">
        <v>0</v>
      </c>
      <c r="G17" s="23">
        <f t="shared" si="2"/>
        <v>0</v>
      </c>
      <c r="H17" s="4"/>
      <c r="I17" s="23">
        <f t="shared" si="3"/>
        <v>0</v>
      </c>
      <c r="J17" s="4"/>
      <c r="K17" s="30">
        <v>0</v>
      </c>
      <c r="L17" s="30">
        <v>0</v>
      </c>
      <c r="M17" s="30">
        <v>0</v>
      </c>
      <c r="N17" s="37">
        <v>0</v>
      </c>
      <c r="O17" s="38">
        <v>0</v>
      </c>
      <c r="P17" s="41">
        <v>0</v>
      </c>
      <c r="Q17" s="41">
        <f t="shared" si="6"/>
        <v>0</v>
      </c>
      <c r="R17" s="42">
        <f t="shared" si="0"/>
        <v>0</v>
      </c>
      <c r="S17" s="41">
        <f t="shared" si="1"/>
        <v>0</v>
      </c>
      <c r="T17" s="43">
        <v>0</v>
      </c>
      <c r="U17" s="41">
        <f t="shared" si="7"/>
        <v>0</v>
      </c>
    </row>
    <row r="18" spans="2:21" x14ac:dyDescent="0.25">
      <c r="B18" s="36">
        <v>14</v>
      </c>
      <c r="C18" s="30" t="s">
        <v>118</v>
      </c>
      <c r="D18" s="16" t="s">
        <v>15</v>
      </c>
      <c r="E18" s="121" t="s">
        <v>75</v>
      </c>
      <c r="F18" s="2">
        <f>84*((7*35)+1.1)</f>
        <v>20672.399999999998</v>
      </c>
      <c r="G18" s="23">
        <f t="shared" si="2"/>
        <v>222517.71359999996</v>
      </c>
      <c r="H18" s="4">
        <v>7.5</v>
      </c>
      <c r="I18" s="23">
        <f t="shared" si="3"/>
        <v>24.599999999999998</v>
      </c>
      <c r="J18" s="4">
        <v>1977</v>
      </c>
      <c r="K18" s="30">
        <v>2022</v>
      </c>
      <c r="L18" s="30">
        <f t="shared" si="4"/>
        <v>45</v>
      </c>
      <c r="M18" s="30">
        <v>40</v>
      </c>
      <c r="N18" s="37">
        <v>0.1</v>
      </c>
      <c r="O18" s="38">
        <f t="shared" si="5"/>
        <v>2.2499999999999999E-2</v>
      </c>
      <c r="P18" s="41">
        <v>1300</v>
      </c>
      <c r="Q18" s="41">
        <f t="shared" si="6"/>
        <v>289273027.67999995</v>
      </c>
      <c r="R18" s="42">
        <f t="shared" si="0"/>
        <v>292888940.5259999</v>
      </c>
      <c r="S18" s="41">
        <f t="shared" si="1"/>
        <v>0</v>
      </c>
      <c r="T18" s="43">
        <v>0</v>
      </c>
      <c r="U18" s="41">
        <f t="shared" si="7"/>
        <v>28927302.767999995</v>
      </c>
    </row>
    <row r="19" spans="2:21" x14ac:dyDescent="0.25">
      <c r="B19" s="36">
        <v>15</v>
      </c>
      <c r="C19" s="30" t="s">
        <v>118</v>
      </c>
      <c r="D19" s="16" t="s">
        <v>16</v>
      </c>
      <c r="E19" s="122"/>
      <c r="F19" s="2">
        <f>21*((7*35)+1.1)+14*7</f>
        <v>5266.0999999999995</v>
      </c>
      <c r="G19" s="23">
        <f t="shared" si="2"/>
        <v>56684.300399999993</v>
      </c>
      <c r="H19" s="4">
        <v>7.5</v>
      </c>
      <c r="I19" s="23">
        <f t="shared" si="3"/>
        <v>24.599999999999998</v>
      </c>
      <c r="J19" s="4">
        <v>1980</v>
      </c>
      <c r="K19" s="30">
        <v>2022</v>
      </c>
      <c r="L19" s="30">
        <f t="shared" si="4"/>
        <v>42</v>
      </c>
      <c r="M19" s="30">
        <v>40</v>
      </c>
      <c r="N19" s="37">
        <v>0.1</v>
      </c>
      <c r="O19" s="38">
        <f t="shared" si="5"/>
        <v>2.2499999999999999E-2</v>
      </c>
      <c r="P19" s="41">
        <v>1300</v>
      </c>
      <c r="Q19" s="41">
        <f t="shared" si="6"/>
        <v>73689590.519999996</v>
      </c>
      <c r="R19" s="42">
        <f t="shared" si="0"/>
        <v>69636663.041399986</v>
      </c>
      <c r="S19" s="41">
        <f t="shared" si="1"/>
        <v>4052927.4786000103</v>
      </c>
      <c r="T19" s="43">
        <v>0</v>
      </c>
      <c r="U19" s="41">
        <f t="shared" si="7"/>
        <v>7368959.0520000001</v>
      </c>
    </row>
    <row r="20" spans="2:21" x14ac:dyDescent="0.25">
      <c r="B20" s="36">
        <v>16</v>
      </c>
      <c r="C20" s="30" t="s">
        <v>118</v>
      </c>
      <c r="D20" s="16" t="s">
        <v>13</v>
      </c>
      <c r="E20" s="122"/>
      <c r="F20" s="2">
        <f>(25*((15*7)+0.4)+(25*((8*7)+0.4)))</f>
        <v>4045</v>
      </c>
      <c r="G20" s="23">
        <f t="shared" si="2"/>
        <v>43540.38</v>
      </c>
      <c r="H20" s="4">
        <v>7.5</v>
      </c>
      <c r="I20" s="23">
        <f t="shared" si="3"/>
        <v>24.599999999999998</v>
      </c>
      <c r="J20" s="4">
        <v>2013</v>
      </c>
      <c r="K20" s="30">
        <v>2022</v>
      </c>
      <c r="L20" s="30">
        <f t="shared" si="4"/>
        <v>9</v>
      </c>
      <c r="M20" s="30">
        <v>40</v>
      </c>
      <c r="N20" s="37">
        <v>0.1</v>
      </c>
      <c r="O20" s="38">
        <f t="shared" si="5"/>
        <v>2.2499999999999999E-2</v>
      </c>
      <c r="P20" s="41">
        <v>1300</v>
      </c>
      <c r="Q20" s="41">
        <f t="shared" si="6"/>
        <v>56602494</v>
      </c>
      <c r="R20" s="42">
        <f t="shared" si="0"/>
        <v>11462005.035</v>
      </c>
      <c r="S20" s="41">
        <f t="shared" si="1"/>
        <v>45140488.965000004</v>
      </c>
      <c r="T20" s="43">
        <v>0</v>
      </c>
      <c r="U20" s="41">
        <f t="shared" si="7"/>
        <v>45140488.965000004</v>
      </c>
    </row>
    <row r="21" spans="2:21" x14ac:dyDescent="0.25">
      <c r="B21" s="36">
        <v>17</v>
      </c>
      <c r="C21" s="30" t="s">
        <v>118</v>
      </c>
      <c r="D21" s="16" t="s">
        <v>14</v>
      </c>
      <c r="E21" s="125"/>
      <c r="F21" s="2">
        <f>25*((7*35)+1.1)</f>
        <v>6152.5</v>
      </c>
      <c r="G21" s="23">
        <f t="shared" si="2"/>
        <v>66225.509999999995</v>
      </c>
      <c r="H21" s="4">
        <v>7.5</v>
      </c>
      <c r="I21" s="23">
        <f t="shared" si="3"/>
        <v>24.599999999999998</v>
      </c>
      <c r="J21" s="4">
        <v>1983</v>
      </c>
      <c r="K21" s="30">
        <v>2022</v>
      </c>
      <c r="L21" s="30">
        <f t="shared" si="4"/>
        <v>39</v>
      </c>
      <c r="M21" s="30">
        <v>40</v>
      </c>
      <c r="N21" s="37">
        <v>0.1</v>
      </c>
      <c r="O21" s="38">
        <f t="shared" si="5"/>
        <v>2.2499999999999999E-2</v>
      </c>
      <c r="P21" s="41">
        <v>1300</v>
      </c>
      <c r="Q21" s="41">
        <f t="shared" si="6"/>
        <v>86093163</v>
      </c>
      <c r="R21" s="42">
        <f t="shared" si="0"/>
        <v>75546750.532499999</v>
      </c>
      <c r="S21" s="41">
        <f t="shared" si="1"/>
        <v>10546412.467500001</v>
      </c>
      <c r="T21" s="43">
        <v>0</v>
      </c>
      <c r="U21" s="41">
        <f t="shared" si="7"/>
        <v>10546412.467500001</v>
      </c>
    </row>
    <row r="22" spans="2:21" ht="30" x14ac:dyDescent="0.25">
      <c r="B22" s="36">
        <v>18</v>
      </c>
      <c r="C22" s="30" t="s">
        <v>118</v>
      </c>
      <c r="D22" s="19" t="s">
        <v>35</v>
      </c>
      <c r="E22" s="19" t="s">
        <v>73</v>
      </c>
      <c r="F22" s="30">
        <f>10*((7*35)+1.1)</f>
        <v>2461</v>
      </c>
      <c r="G22" s="23">
        <f t="shared" si="2"/>
        <v>26490.203999999998</v>
      </c>
      <c r="H22" s="30">
        <v>3.5</v>
      </c>
      <c r="I22" s="23">
        <f t="shared" si="3"/>
        <v>11.479999999999999</v>
      </c>
      <c r="J22" s="69">
        <v>1983</v>
      </c>
      <c r="K22" s="30">
        <v>2022</v>
      </c>
      <c r="L22" s="30">
        <f t="shared" si="4"/>
        <v>39</v>
      </c>
      <c r="M22" s="30">
        <v>60</v>
      </c>
      <c r="N22" s="37">
        <v>0.1</v>
      </c>
      <c r="O22" s="38">
        <f t="shared" si="5"/>
        <v>1.5000000000000001E-2</v>
      </c>
      <c r="P22" s="41">
        <v>1200</v>
      </c>
      <c r="Q22" s="41">
        <f t="shared" si="6"/>
        <v>31788244.799999997</v>
      </c>
      <c r="R22" s="42">
        <f t="shared" si="0"/>
        <v>18596123.208000001</v>
      </c>
      <c r="S22" s="41">
        <f t="shared" si="1"/>
        <v>13192121.591999996</v>
      </c>
      <c r="T22" s="43">
        <v>0</v>
      </c>
      <c r="U22" s="41">
        <f t="shared" si="7"/>
        <v>13192121.591999996</v>
      </c>
    </row>
    <row r="23" spans="2:21" x14ac:dyDescent="0.25">
      <c r="B23" s="36">
        <v>19</v>
      </c>
      <c r="C23" s="30" t="s">
        <v>118</v>
      </c>
      <c r="D23" s="16" t="s">
        <v>17</v>
      </c>
      <c r="E23" s="121" t="s">
        <v>75</v>
      </c>
      <c r="F23" s="2">
        <f>125*((7*8)+0.3)</f>
        <v>7037.5</v>
      </c>
      <c r="G23" s="23">
        <f t="shared" si="2"/>
        <v>75751.649999999994</v>
      </c>
      <c r="H23" s="4">
        <v>7.5</v>
      </c>
      <c r="I23" s="23">
        <f t="shared" si="3"/>
        <v>24.599999999999998</v>
      </c>
      <c r="J23" s="4">
        <v>1977</v>
      </c>
      <c r="K23" s="30">
        <v>2022</v>
      </c>
      <c r="L23" s="30">
        <f t="shared" si="4"/>
        <v>45</v>
      </c>
      <c r="M23" s="30">
        <v>40</v>
      </c>
      <c r="N23" s="37">
        <v>0.1</v>
      </c>
      <c r="O23" s="38">
        <f t="shared" si="5"/>
        <v>2.2499999999999999E-2</v>
      </c>
      <c r="P23" s="41">
        <v>1400</v>
      </c>
      <c r="Q23" s="41">
        <f t="shared" si="6"/>
        <v>106052309.99999999</v>
      </c>
      <c r="R23" s="42">
        <f t="shared" si="0"/>
        <v>107377963.87499999</v>
      </c>
      <c r="S23" s="41">
        <f t="shared" si="1"/>
        <v>0</v>
      </c>
      <c r="T23" s="43">
        <v>0</v>
      </c>
      <c r="U23" s="41">
        <f t="shared" si="7"/>
        <v>10605231</v>
      </c>
    </row>
    <row r="24" spans="2:21" x14ac:dyDescent="0.25">
      <c r="B24" s="36">
        <v>20</v>
      </c>
      <c r="C24" s="30" t="s">
        <v>118</v>
      </c>
      <c r="D24" s="16" t="s">
        <v>18</v>
      </c>
      <c r="E24" s="122"/>
      <c r="F24" s="2">
        <f>35*((7*8)+0.3)</f>
        <v>1970.5</v>
      </c>
      <c r="G24" s="23">
        <f t="shared" si="2"/>
        <v>21210.462</v>
      </c>
      <c r="H24" s="4">
        <v>7.5</v>
      </c>
      <c r="I24" s="23">
        <f t="shared" si="3"/>
        <v>24.599999999999998</v>
      </c>
      <c r="J24" s="4">
        <v>1983</v>
      </c>
      <c r="K24" s="30">
        <v>2022</v>
      </c>
      <c r="L24" s="30">
        <f t="shared" si="4"/>
        <v>39</v>
      </c>
      <c r="M24" s="30">
        <v>40</v>
      </c>
      <c r="N24" s="37">
        <v>0.1</v>
      </c>
      <c r="O24" s="38">
        <f t="shared" si="5"/>
        <v>2.2499999999999999E-2</v>
      </c>
      <c r="P24" s="41">
        <v>1400</v>
      </c>
      <c r="Q24" s="41">
        <f t="shared" si="6"/>
        <v>29694646.800000001</v>
      </c>
      <c r="R24" s="42">
        <f t="shared" si="0"/>
        <v>26057052.566999998</v>
      </c>
      <c r="S24" s="41">
        <f t="shared" si="1"/>
        <v>3637594.2330000028</v>
      </c>
      <c r="T24" s="43">
        <v>0</v>
      </c>
      <c r="U24" s="41">
        <f t="shared" si="7"/>
        <v>3637594.2330000028</v>
      </c>
    </row>
    <row r="25" spans="2:21" ht="30" x14ac:dyDescent="0.25">
      <c r="B25" s="36">
        <v>21</v>
      </c>
      <c r="C25" s="30" t="s">
        <v>118</v>
      </c>
      <c r="D25" s="16" t="s">
        <v>79</v>
      </c>
      <c r="E25" s="125"/>
      <c r="F25" s="2">
        <f>10*((7*19)+0.4)</f>
        <v>1334</v>
      </c>
      <c r="G25" s="23">
        <f t="shared" si="2"/>
        <v>14359.175999999999</v>
      </c>
      <c r="H25" s="4">
        <v>3.5</v>
      </c>
      <c r="I25" s="23">
        <f t="shared" si="3"/>
        <v>11.479999999999999</v>
      </c>
      <c r="J25" s="4">
        <v>1977</v>
      </c>
      <c r="K25" s="30">
        <v>2022</v>
      </c>
      <c r="L25" s="30">
        <f t="shared" si="4"/>
        <v>45</v>
      </c>
      <c r="M25" s="30">
        <v>40</v>
      </c>
      <c r="N25" s="37">
        <v>0.1</v>
      </c>
      <c r="O25" s="38">
        <f t="shared" si="5"/>
        <v>2.2499999999999999E-2</v>
      </c>
      <c r="P25" s="41">
        <v>1400</v>
      </c>
      <c r="Q25" s="41">
        <f t="shared" si="6"/>
        <v>20102846.399999999</v>
      </c>
      <c r="R25" s="42">
        <f t="shared" si="0"/>
        <v>20354131.979999997</v>
      </c>
      <c r="S25" s="41">
        <f t="shared" si="1"/>
        <v>0</v>
      </c>
      <c r="T25" s="43">
        <v>0</v>
      </c>
      <c r="U25" s="41">
        <f t="shared" si="7"/>
        <v>2010284.64</v>
      </c>
    </row>
    <row r="26" spans="2:21" ht="30" x14ac:dyDescent="0.25">
      <c r="B26" s="36">
        <v>22</v>
      </c>
      <c r="C26" s="30" t="s">
        <v>118</v>
      </c>
      <c r="D26" s="16" t="s">
        <v>58</v>
      </c>
      <c r="E26" s="121" t="s">
        <v>73</v>
      </c>
      <c r="F26" s="2">
        <f>14.7*(7*7)</f>
        <v>720.3</v>
      </c>
      <c r="G26" s="23">
        <f t="shared" si="2"/>
        <v>7753.3091999999988</v>
      </c>
      <c r="H26" s="4">
        <v>3.5</v>
      </c>
      <c r="I26" s="23">
        <f t="shared" si="3"/>
        <v>11.479999999999999</v>
      </c>
      <c r="J26" s="4">
        <v>1983</v>
      </c>
      <c r="K26" s="30">
        <v>2022</v>
      </c>
      <c r="L26" s="30">
        <f t="shared" si="4"/>
        <v>39</v>
      </c>
      <c r="M26" s="30">
        <v>60</v>
      </c>
      <c r="N26" s="37">
        <v>0.1</v>
      </c>
      <c r="O26" s="38">
        <f t="shared" si="5"/>
        <v>1.5000000000000001E-2</v>
      </c>
      <c r="P26" s="41">
        <v>1400</v>
      </c>
      <c r="Q26" s="41">
        <f t="shared" si="6"/>
        <v>10854632.879999999</v>
      </c>
      <c r="R26" s="42">
        <f t="shared" si="0"/>
        <v>6349960.2347999997</v>
      </c>
      <c r="S26" s="41">
        <f t="shared" si="1"/>
        <v>4504672.6451999992</v>
      </c>
      <c r="T26" s="43">
        <v>0</v>
      </c>
      <c r="U26" s="41">
        <f t="shared" si="7"/>
        <v>4504672.6451999992</v>
      </c>
    </row>
    <row r="27" spans="2:21" x14ac:dyDescent="0.25">
      <c r="B27" s="36">
        <v>23</v>
      </c>
      <c r="C27" s="30" t="s">
        <v>121</v>
      </c>
      <c r="D27" s="16" t="s">
        <v>80</v>
      </c>
      <c r="E27" s="125"/>
      <c r="F27" s="2">
        <f>14.7*(7*7)</f>
        <v>720.3</v>
      </c>
      <c r="G27" s="23">
        <f t="shared" si="2"/>
        <v>7753.3091999999988</v>
      </c>
      <c r="H27" s="4">
        <v>3.5</v>
      </c>
      <c r="I27" s="23">
        <f t="shared" si="3"/>
        <v>11.479999999999999</v>
      </c>
      <c r="J27" s="4">
        <v>1983</v>
      </c>
      <c r="K27" s="30">
        <v>2022</v>
      </c>
      <c r="L27" s="30">
        <f t="shared" si="4"/>
        <v>39</v>
      </c>
      <c r="M27" s="30">
        <v>60</v>
      </c>
      <c r="N27" s="37">
        <v>0.1</v>
      </c>
      <c r="O27" s="38">
        <f t="shared" si="5"/>
        <v>1.5000000000000001E-2</v>
      </c>
      <c r="P27" s="41">
        <v>1400</v>
      </c>
      <c r="Q27" s="41">
        <f t="shared" si="6"/>
        <v>10854632.879999999</v>
      </c>
      <c r="R27" s="42">
        <f t="shared" si="0"/>
        <v>6349960.2347999997</v>
      </c>
      <c r="S27" s="41">
        <f t="shared" si="1"/>
        <v>4504672.6451999992</v>
      </c>
      <c r="T27" s="43">
        <v>0</v>
      </c>
      <c r="U27" s="41">
        <f t="shared" si="7"/>
        <v>4504672.6451999992</v>
      </c>
    </row>
    <row r="28" spans="2:21" ht="45" x14ac:dyDescent="0.25">
      <c r="B28" s="36">
        <v>24</v>
      </c>
      <c r="C28" s="30" t="s">
        <v>118</v>
      </c>
      <c r="D28" s="19" t="s">
        <v>81</v>
      </c>
      <c r="E28" s="19" t="s">
        <v>76</v>
      </c>
      <c r="F28" s="30">
        <f>23*21*2+23*7</f>
        <v>1127</v>
      </c>
      <c r="G28" s="23">
        <f t="shared" si="2"/>
        <v>12131.027999999998</v>
      </c>
      <c r="H28" s="30">
        <v>4</v>
      </c>
      <c r="I28" s="23">
        <f t="shared" si="3"/>
        <v>13.12</v>
      </c>
      <c r="J28" s="69">
        <v>1994</v>
      </c>
      <c r="K28" s="30">
        <v>2022</v>
      </c>
      <c r="L28" s="30">
        <f t="shared" si="4"/>
        <v>28</v>
      </c>
      <c r="M28" s="30">
        <v>40</v>
      </c>
      <c r="N28" s="37">
        <v>0.1</v>
      </c>
      <c r="O28" s="38">
        <f t="shared" si="5"/>
        <v>2.2499999999999999E-2</v>
      </c>
      <c r="P28" s="41">
        <v>1200</v>
      </c>
      <c r="Q28" s="41">
        <f t="shared" si="6"/>
        <v>14557233.599999998</v>
      </c>
      <c r="R28" s="42">
        <f t="shared" si="0"/>
        <v>9171057.1679999977</v>
      </c>
      <c r="S28" s="41">
        <f t="shared" si="1"/>
        <v>5386176.432</v>
      </c>
      <c r="T28" s="43">
        <v>0</v>
      </c>
      <c r="U28" s="41">
        <f t="shared" si="7"/>
        <v>5386176.432</v>
      </c>
    </row>
    <row r="29" spans="2:21" x14ac:dyDescent="0.25">
      <c r="B29" s="36">
        <v>25</v>
      </c>
      <c r="C29" s="30" t="s">
        <v>118</v>
      </c>
      <c r="D29" s="16" t="s">
        <v>20</v>
      </c>
      <c r="E29" s="121" t="s">
        <v>75</v>
      </c>
      <c r="F29" s="2">
        <f>7*32.3</f>
        <v>226.09999999999997</v>
      </c>
      <c r="G29" s="23">
        <f t="shared" si="2"/>
        <v>2433.7403999999997</v>
      </c>
      <c r="H29" s="4">
        <v>4</v>
      </c>
      <c r="I29" s="23">
        <f t="shared" si="3"/>
        <v>13.12</v>
      </c>
      <c r="J29" s="4">
        <v>1978</v>
      </c>
      <c r="K29" s="30">
        <v>2022</v>
      </c>
      <c r="L29" s="30">
        <f t="shared" si="4"/>
        <v>44</v>
      </c>
      <c r="M29" s="30">
        <v>40</v>
      </c>
      <c r="N29" s="37">
        <v>0.1</v>
      </c>
      <c r="O29" s="38">
        <f t="shared" si="5"/>
        <v>2.2499999999999999E-2</v>
      </c>
      <c r="P29" s="41">
        <v>1200</v>
      </c>
      <c r="Q29" s="41">
        <f t="shared" si="6"/>
        <v>2920488.4799999995</v>
      </c>
      <c r="R29" s="42">
        <f t="shared" si="0"/>
        <v>2891283.5951999994</v>
      </c>
      <c r="S29" s="41">
        <f t="shared" si="1"/>
        <v>29204.884800000116</v>
      </c>
      <c r="T29" s="43">
        <v>0</v>
      </c>
      <c r="U29" s="41">
        <f t="shared" si="7"/>
        <v>292048.84799999994</v>
      </c>
    </row>
    <row r="30" spans="2:21" x14ac:dyDescent="0.25">
      <c r="B30" s="36">
        <v>26</v>
      </c>
      <c r="C30" s="30" t="s">
        <v>118</v>
      </c>
      <c r="D30" s="16" t="s">
        <v>21</v>
      </c>
      <c r="E30" s="122"/>
      <c r="F30" s="2">
        <f>22.3*28</f>
        <v>624.4</v>
      </c>
      <c r="G30" s="23">
        <f t="shared" si="2"/>
        <v>6721.0415999999996</v>
      </c>
      <c r="H30" s="4">
        <v>4</v>
      </c>
      <c r="I30" s="23">
        <f t="shared" si="3"/>
        <v>13.12</v>
      </c>
      <c r="J30" s="4">
        <v>1977</v>
      </c>
      <c r="K30" s="30">
        <v>2022</v>
      </c>
      <c r="L30" s="30">
        <f t="shared" si="4"/>
        <v>45</v>
      </c>
      <c r="M30" s="30">
        <v>40</v>
      </c>
      <c r="N30" s="37">
        <v>0.1</v>
      </c>
      <c r="O30" s="38">
        <f t="shared" si="5"/>
        <v>2.2499999999999999E-2</v>
      </c>
      <c r="P30" s="41">
        <v>1200</v>
      </c>
      <c r="Q30" s="41">
        <f t="shared" si="6"/>
        <v>8065249.9199999999</v>
      </c>
      <c r="R30" s="42">
        <f t="shared" si="0"/>
        <v>8166065.5439999998</v>
      </c>
      <c r="S30" s="41">
        <f t="shared" si="1"/>
        <v>0</v>
      </c>
      <c r="T30" s="43">
        <v>0</v>
      </c>
      <c r="U30" s="41">
        <f t="shared" si="7"/>
        <v>806524.99200000009</v>
      </c>
    </row>
    <row r="31" spans="2:21" x14ac:dyDescent="0.25">
      <c r="B31" s="36">
        <v>27</v>
      </c>
      <c r="C31" s="30" t="s">
        <v>118</v>
      </c>
      <c r="D31" s="16" t="s">
        <v>1</v>
      </c>
      <c r="E31" s="122"/>
      <c r="F31" s="6">
        <f>40*16+16*28.5+11*7+9*23.25</f>
        <v>1382.25</v>
      </c>
      <c r="G31" s="23">
        <f t="shared" si="2"/>
        <v>14878.538999999999</v>
      </c>
      <c r="H31" s="4">
        <v>4</v>
      </c>
      <c r="I31" s="23">
        <f t="shared" si="3"/>
        <v>13.12</v>
      </c>
      <c r="J31" s="4">
        <v>1977</v>
      </c>
      <c r="K31" s="30">
        <v>2022</v>
      </c>
      <c r="L31" s="30">
        <f t="shared" si="4"/>
        <v>45</v>
      </c>
      <c r="M31" s="30">
        <v>40</v>
      </c>
      <c r="N31" s="37">
        <v>0.1</v>
      </c>
      <c r="O31" s="38">
        <f t="shared" si="5"/>
        <v>2.2499999999999999E-2</v>
      </c>
      <c r="P31" s="41">
        <v>1200</v>
      </c>
      <c r="Q31" s="41">
        <f t="shared" si="6"/>
        <v>17854246.799999997</v>
      </c>
      <c r="R31" s="42">
        <f t="shared" si="0"/>
        <v>18077424.884999994</v>
      </c>
      <c r="S31" s="41">
        <f t="shared" si="1"/>
        <v>0</v>
      </c>
      <c r="T31" s="43">
        <v>0</v>
      </c>
      <c r="U31" s="41">
        <f t="shared" si="7"/>
        <v>1785424.6799999997</v>
      </c>
    </row>
    <row r="32" spans="2:21" x14ac:dyDescent="0.25">
      <c r="B32" s="36">
        <v>28</v>
      </c>
      <c r="C32" s="30" t="s">
        <v>118</v>
      </c>
      <c r="D32" s="16" t="s">
        <v>22</v>
      </c>
      <c r="E32" s="122"/>
      <c r="F32" s="6">
        <f>16*75</f>
        <v>1200</v>
      </c>
      <c r="G32" s="23">
        <f t="shared" si="2"/>
        <v>12916.8</v>
      </c>
      <c r="H32" s="4">
        <v>4</v>
      </c>
      <c r="I32" s="23">
        <f t="shared" si="3"/>
        <v>13.12</v>
      </c>
      <c r="J32" s="4">
        <v>2002</v>
      </c>
      <c r="K32" s="30">
        <v>2022</v>
      </c>
      <c r="L32" s="30">
        <f t="shared" si="4"/>
        <v>20</v>
      </c>
      <c r="M32" s="30">
        <v>40</v>
      </c>
      <c r="N32" s="37">
        <v>0.1</v>
      </c>
      <c r="O32" s="38">
        <f t="shared" si="5"/>
        <v>2.2499999999999999E-2</v>
      </c>
      <c r="P32" s="41">
        <v>1400</v>
      </c>
      <c r="Q32" s="41">
        <f t="shared" si="6"/>
        <v>18083520</v>
      </c>
      <c r="R32" s="42">
        <f t="shared" si="0"/>
        <v>8137584</v>
      </c>
      <c r="S32" s="41">
        <f t="shared" si="1"/>
        <v>9945936</v>
      </c>
      <c r="T32" s="43">
        <v>0</v>
      </c>
      <c r="U32" s="41">
        <f t="shared" si="7"/>
        <v>9945936</v>
      </c>
    </row>
    <row r="33" spans="2:21" x14ac:dyDescent="0.25">
      <c r="B33" s="36">
        <v>29</v>
      </c>
      <c r="C33" s="30" t="s">
        <v>118</v>
      </c>
      <c r="D33" s="16" t="s">
        <v>23</v>
      </c>
      <c r="E33" s="122"/>
      <c r="F33" s="6">
        <f>60*29</f>
        <v>1740</v>
      </c>
      <c r="G33" s="23">
        <f t="shared" si="2"/>
        <v>18729.36</v>
      </c>
      <c r="H33" s="4">
        <v>4</v>
      </c>
      <c r="I33" s="23">
        <f t="shared" si="3"/>
        <v>13.12</v>
      </c>
      <c r="J33" s="4">
        <v>1977</v>
      </c>
      <c r="K33" s="30">
        <v>2022</v>
      </c>
      <c r="L33" s="30">
        <f t="shared" si="4"/>
        <v>45</v>
      </c>
      <c r="M33" s="30">
        <v>40</v>
      </c>
      <c r="N33" s="37">
        <v>0.1</v>
      </c>
      <c r="O33" s="38">
        <f t="shared" si="5"/>
        <v>2.2499999999999999E-2</v>
      </c>
      <c r="P33" s="41">
        <v>1100</v>
      </c>
      <c r="Q33" s="41">
        <f t="shared" si="6"/>
        <v>20602296</v>
      </c>
      <c r="R33" s="42">
        <f t="shared" si="0"/>
        <v>20859824.699999999</v>
      </c>
      <c r="S33" s="41">
        <f t="shared" si="1"/>
        <v>0</v>
      </c>
      <c r="T33" s="43">
        <v>0</v>
      </c>
      <c r="U33" s="41">
        <f t="shared" si="7"/>
        <v>2060229.6</v>
      </c>
    </row>
    <row r="34" spans="2:21" x14ac:dyDescent="0.25">
      <c r="B34" s="36">
        <v>30</v>
      </c>
      <c r="C34" s="30" t="s">
        <v>118</v>
      </c>
      <c r="D34" s="16" t="s">
        <v>24</v>
      </c>
      <c r="E34" s="122"/>
      <c r="F34" s="6">
        <f>18*13.5+12.3*6</f>
        <v>316.8</v>
      </c>
      <c r="G34" s="23">
        <f t="shared" si="2"/>
        <v>3410.0351999999998</v>
      </c>
      <c r="H34" s="4">
        <v>4</v>
      </c>
      <c r="I34" s="23">
        <f t="shared" si="3"/>
        <v>13.12</v>
      </c>
      <c r="J34" s="4">
        <v>1996</v>
      </c>
      <c r="K34" s="30">
        <v>2022</v>
      </c>
      <c r="L34" s="30">
        <f t="shared" si="4"/>
        <v>26</v>
      </c>
      <c r="M34" s="30">
        <v>40</v>
      </c>
      <c r="N34" s="37">
        <v>0.1</v>
      </c>
      <c r="O34" s="38">
        <f t="shared" si="5"/>
        <v>2.2499999999999999E-2</v>
      </c>
      <c r="P34" s="41">
        <v>1100</v>
      </c>
      <c r="Q34" s="41">
        <f t="shared" si="6"/>
        <v>3751038.7199999997</v>
      </c>
      <c r="R34" s="42">
        <f t="shared" si="0"/>
        <v>2194357.6511999997</v>
      </c>
      <c r="S34" s="41">
        <f t="shared" si="1"/>
        <v>1556681.0688</v>
      </c>
      <c r="T34" s="43">
        <v>0</v>
      </c>
      <c r="U34" s="41">
        <f t="shared" si="7"/>
        <v>1556681.0688</v>
      </c>
    </row>
    <row r="35" spans="2:21" x14ac:dyDescent="0.25">
      <c r="B35" s="36">
        <v>31</v>
      </c>
      <c r="C35" s="30" t="s">
        <v>118</v>
      </c>
      <c r="D35" s="16" t="s">
        <v>25</v>
      </c>
      <c r="E35" s="122"/>
      <c r="F35" s="6">
        <f>5.3*22+20*5</f>
        <v>216.6</v>
      </c>
      <c r="G35" s="23">
        <f t="shared" si="2"/>
        <v>2331.4823999999999</v>
      </c>
      <c r="H35" s="4">
        <v>4</v>
      </c>
      <c r="I35" s="23">
        <f t="shared" si="3"/>
        <v>13.12</v>
      </c>
      <c r="J35" s="4">
        <v>1979</v>
      </c>
      <c r="K35" s="30">
        <v>2022</v>
      </c>
      <c r="L35" s="30">
        <f t="shared" si="4"/>
        <v>43</v>
      </c>
      <c r="M35" s="30">
        <v>40</v>
      </c>
      <c r="N35" s="37">
        <v>0.1</v>
      </c>
      <c r="O35" s="38">
        <f t="shared" si="5"/>
        <v>2.2499999999999999E-2</v>
      </c>
      <c r="P35" s="41">
        <v>1100</v>
      </c>
      <c r="Q35" s="41">
        <f t="shared" si="6"/>
        <v>2564630.6399999997</v>
      </c>
      <c r="R35" s="42">
        <f t="shared" si="0"/>
        <v>2481280.1441999995</v>
      </c>
      <c r="S35" s="41">
        <f t="shared" si="1"/>
        <v>83350.49580000015</v>
      </c>
      <c r="T35" s="43">
        <v>0</v>
      </c>
      <c r="U35" s="41">
        <f t="shared" si="7"/>
        <v>256463.06399999998</v>
      </c>
    </row>
    <row r="36" spans="2:21" x14ac:dyDescent="0.25">
      <c r="B36" s="36">
        <v>32</v>
      </c>
      <c r="C36" s="30" t="s">
        <v>118</v>
      </c>
      <c r="D36" s="16" t="s">
        <v>26</v>
      </c>
      <c r="E36" s="125"/>
      <c r="F36" s="6">
        <f>72.25*7</f>
        <v>505.75</v>
      </c>
      <c r="G36" s="23">
        <f t="shared" si="2"/>
        <v>5443.893</v>
      </c>
      <c r="H36" s="4">
        <v>5</v>
      </c>
      <c r="I36" s="23">
        <f t="shared" si="3"/>
        <v>16.399999999999999</v>
      </c>
      <c r="J36" s="4">
        <v>1983</v>
      </c>
      <c r="K36" s="30">
        <v>2022</v>
      </c>
      <c r="L36" s="30">
        <f t="shared" si="4"/>
        <v>39</v>
      </c>
      <c r="M36" s="30">
        <v>40</v>
      </c>
      <c r="N36" s="37">
        <v>0.1</v>
      </c>
      <c r="O36" s="38">
        <f t="shared" si="5"/>
        <v>2.2499999999999999E-2</v>
      </c>
      <c r="P36" s="41">
        <v>1100</v>
      </c>
      <c r="Q36" s="41">
        <f t="shared" si="6"/>
        <v>5988282.2999999998</v>
      </c>
      <c r="R36" s="42">
        <f t="shared" si="0"/>
        <v>5254717.7182499999</v>
      </c>
      <c r="S36" s="41">
        <f t="shared" si="1"/>
        <v>733564.5817499999</v>
      </c>
      <c r="T36" s="43">
        <v>0</v>
      </c>
      <c r="U36" s="41">
        <f t="shared" si="7"/>
        <v>733564.5817499999</v>
      </c>
    </row>
    <row r="37" spans="2:21" ht="30" x14ac:dyDescent="0.25">
      <c r="B37" s="36">
        <v>33</v>
      </c>
      <c r="C37" s="30" t="s">
        <v>118</v>
      </c>
      <c r="D37" s="19" t="s">
        <v>60</v>
      </c>
      <c r="E37" s="19" t="s">
        <v>73</v>
      </c>
      <c r="F37" s="30">
        <f>61*25</f>
        <v>1525</v>
      </c>
      <c r="G37" s="23">
        <f t="shared" si="2"/>
        <v>16415.099999999999</v>
      </c>
      <c r="H37" s="30">
        <v>4</v>
      </c>
      <c r="I37" s="23">
        <f t="shared" si="3"/>
        <v>13.12</v>
      </c>
      <c r="J37" s="69">
        <v>1977</v>
      </c>
      <c r="K37" s="30">
        <v>2022</v>
      </c>
      <c r="L37" s="30">
        <f t="shared" si="4"/>
        <v>45</v>
      </c>
      <c r="M37" s="30">
        <v>60</v>
      </c>
      <c r="N37" s="37">
        <v>0.1</v>
      </c>
      <c r="O37" s="38">
        <f t="shared" si="5"/>
        <v>1.5000000000000001E-2</v>
      </c>
      <c r="P37" s="41">
        <v>1100</v>
      </c>
      <c r="Q37" s="41">
        <f t="shared" si="6"/>
        <v>18056610</v>
      </c>
      <c r="R37" s="42">
        <f t="shared" si="0"/>
        <v>12188211.750000002</v>
      </c>
      <c r="S37" s="41">
        <f t="shared" si="1"/>
        <v>5868398.2499999981</v>
      </c>
      <c r="T37" s="43">
        <v>0</v>
      </c>
      <c r="U37" s="41">
        <f t="shared" si="7"/>
        <v>5868398.2499999981</v>
      </c>
    </row>
    <row r="38" spans="2:21" ht="45" x14ac:dyDescent="0.25">
      <c r="B38" s="36">
        <v>34</v>
      </c>
      <c r="C38" s="30" t="s">
        <v>121</v>
      </c>
      <c r="D38" s="19" t="s">
        <v>59</v>
      </c>
      <c r="E38" s="31" t="s">
        <v>75</v>
      </c>
      <c r="F38" s="30">
        <f>61*25</f>
        <v>1525</v>
      </c>
      <c r="G38" s="23">
        <f t="shared" si="2"/>
        <v>16415.099999999999</v>
      </c>
      <c r="H38" s="30">
        <v>4</v>
      </c>
      <c r="I38" s="23">
        <f t="shared" si="3"/>
        <v>13.12</v>
      </c>
      <c r="J38" s="69">
        <v>1977</v>
      </c>
      <c r="K38" s="30">
        <v>2022</v>
      </c>
      <c r="L38" s="30">
        <f t="shared" si="4"/>
        <v>45</v>
      </c>
      <c r="M38" s="30">
        <v>40</v>
      </c>
      <c r="N38" s="37">
        <v>0.1</v>
      </c>
      <c r="O38" s="38">
        <f t="shared" si="5"/>
        <v>2.2499999999999999E-2</v>
      </c>
      <c r="P38" s="41">
        <v>1100</v>
      </c>
      <c r="Q38" s="41">
        <f t="shared" si="6"/>
        <v>18056610</v>
      </c>
      <c r="R38" s="42">
        <f t="shared" si="0"/>
        <v>18282317.625</v>
      </c>
      <c r="S38" s="41">
        <f t="shared" si="1"/>
        <v>0</v>
      </c>
      <c r="T38" s="43">
        <v>0</v>
      </c>
      <c r="U38" s="41">
        <f t="shared" si="7"/>
        <v>1805661</v>
      </c>
    </row>
    <row r="39" spans="2:21" ht="30" x14ac:dyDescent="0.25">
      <c r="B39" s="36">
        <v>35</v>
      </c>
      <c r="C39" s="30" t="s">
        <v>118</v>
      </c>
      <c r="D39" s="19" t="s">
        <v>87</v>
      </c>
      <c r="E39" s="19" t="s">
        <v>73</v>
      </c>
      <c r="F39" s="30">
        <f>30*15</f>
        <v>450</v>
      </c>
      <c r="G39" s="23">
        <f t="shared" si="2"/>
        <v>4843.7999999999993</v>
      </c>
      <c r="H39" s="30">
        <v>4</v>
      </c>
      <c r="I39" s="23">
        <f t="shared" si="3"/>
        <v>13.12</v>
      </c>
      <c r="J39" s="69">
        <v>1993</v>
      </c>
      <c r="K39" s="30">
        <v>2022</v>
      </c>
      <c r="L39" s="30">
        <f t="shared" si="4"/>
        <v>29</v>
      </c>
      <c r="M39" s="30">
        <v>60</v>
      </c>
      <c r="N39" s="37">
        <v>0.1</v>
      </c>
      <c r="O39" s="38">
        <f t="shared" si="5"/>
        <v>1.5000000000000001E-2</v>
      </c>
      <c r="P39" s="41">
        <v>1200</v>
      </c>
      <c r="Q39" s="41">
        <f t="shared" si="6"/>
        <v>5812559.9999999991</v>
      </c>
      <c r="R39" s="42">
        <f t="shared" si="0"/>
        <v>2528463.5999999996</v>
      </c>
      <c r="S39" s="41">
        <f t="shared" si="1"/>
        <v>3284096.3999999994</v>
      </c>
      <c r="T39" s="43">
        <v>0</v>
      </c>
      <c r="U39" s="41">
        <f t="shared" si="7"/>
        <v>3284096.3999999994</v>
      </c>
    </row>
    <row r="40" spans="2:21" x14ac:dyDescent="0.25">
      <c r="B40" s="36">
        <v>36</v>
      </c>
      <c r="C40" s="30" t="s">
        <v>121</v>
      </c>
      <c r="D40" s="19" t="s">
        <v>89</v>
      </c>
      <c r="E40" s="121" t="s">
        <v>75</v>
      </c>
      <c r="F40" s="30">
        <f>30*15</f>
        <v>450</v>
      </c>
      <c r="G40" s="23">
        <f t="shared" si="2"/>
        <v>4843.7999999999993</v>
      </c>
      <c r="H40" s="30">
        <v>4</v>
      </c>
      <c r="I40" s="23">
        <f t="shared" si="3"/>
        <v>13.12</v>
      </c>
      <c r="J40" s="69">
        <v>1993</v>
      </c>
      <c r="K40" s="30">
        <v>2022</v>
      </c>
      <c r="L40" s="30">
        <f t="shared" si="4"/>
        <v>29</v>
      </c>
      <c r="M40" s="30">
        <v>40</v>
      </c>
      <c r="N40" s="37">
        <v>0.1</v>
      </c>
      <c r="O40" s="38">
        <f t="shared" si="5"/>
        <v>2.2499999999999999E-2</v>
      </c>
      <c r="P40" s="41">
        <v>1100</v>
      </c>
      <c r="Q40" s="41">
        <f t="shared" si="6"/>
        <v>5328179.9999999991</v>
      </c>
      <c r="R40" s="42">
        <f t="shared" si="0"/>
        <v>3476637.4499999993</v>
      </c>
      <c r="S40" s="41">
        <f t="shared" si="1"/>
        <v>1851542.5499999998</v>
      </c>
      <c r="T40" s="43">
        <v>0</v>
      </c>
      <c r="U40" s="41">
        <f t="shared" si="7"/>
        <v>1851542.5499999998</v>
      </c>
    </row>
    <row r="41" spans="2:21" x14ac:dyDescent="0.25">
      <c r="B41" s="36">
        <v>37</v>
      </c>
      <c r="C41" s="30" t="s">
        <v>118</v>
      </c>
      <c r="D41" s="19" t="s">
        <v>28</v>
      </c>
      <c r="E41" s="122"/>
      <c r="F41" s="30">
        <f>19*7</f>
        <v>133</v>
      </c>
      <c r="G41" s="23">
        <f t="shared" si="2"/>
        <v>1431.6119999999999</v>
      </c>
      <c r="H41" s="30">
        <v>4</v>
      </c>
      <c r="I41" s="23">
        <f t="shared" si="3"/>
        <v>13.12</v>
      </c>
      <c r="J41" s="69">
        <v>1977</v>
      </c>
      <c r="K41" s="30">
        <v>2022</v>
      </c>
      <c r="L41" s="30">
        <f t="shared" si="4"/>
        <v>45</v>
      </c>
      <c r="M41" s="30">
        <v>40</v>
      </c>
      <c r="N41" s="37">
        <v>0.1</v>
      </c>
      <c r="O41" s="38">
        <f t="shared" si="5"/>
        <v>2.2499999999999999E-2</v>
      </c>
      <c r="P41" s="41">
        <v>1100</v>
      </c>
      <c r="Q41" s="41">
        <f t="shared" si="6"/>
        <v>1574773.2</v>
      </c>
      <c r="R41" s="42">
        <f t="shared" si="0"/>
        <v>1594457.8649999998</v>
      </c>
      <c r="S41" s="41">
        <f t="shared" si="1"/>
        <v>0</v>
      </c>
      <c r="T41" s="43">
        <v>0</v>
      </c>
      <c r="U41" s="41">
        <f t="shared" si="7"/>
        <v>157477.32</v>
      </c>
    </row>
    <row r="42" spans="2:21" x14ac:dyDescent="0.25">
      <c r="B42" s="36">
        <v>38</v>
      </c>
      <c r="C42" s="30" t="s">
        <v>118</v>
      </c>
      <c r="D42" s="19" t="s">
        <v>27</v>
      </c>
      <c r="E42" s="122"/>
      <c r="F42" s="25">
        <f>32.6*38.701</f>
        <v>1261.6526000000001</v>
      </c>
      <c r="G42" s="23">
        <f t="shared" si="2"/>
        <v>13580.428586400001</v>
      </c>
      <c r="H42" s="30">
        <v>4</v>
      </c>
      <c r="I42" s="23">
        <f t="shared" si="3"/>
        <v>13.12</v>
      </c>
      <c r="J42" s="69">
        <v>1983</v>
      </c>
      <c r="K42" s="30">
        <v>2022</v>
      </c>
      <c r="L42" s="30">
        <f t="shared" si="4"/>
        <v>39</v>
      </c>
      <c r="M42" s="30">
        <v>40</v>
      </c>
      <c r="N42" s="37">
        <v>0.1</v>
      </c>
      <c r="O42" s="38">
        <f t="shared" si="5"/>
        <v>2.2499999999999999E-2</v>
      </c>
      <c r="P42" s="41">
        <v>1100</v>
      </c>
      <c r="Q42" s="41">
        <f t="shared" si="6"/>
        <v>14938471.445040001</v>
      </c>
      <c r="R42" s="42">
        <f t="shared" si="0"/>
        <v>13108508.693022601</v>
      </c>
      <c r="S42" s="41">
        <f t="shared" si="1"/>
        <v>1829962.7520173993</v>
      </c>
      <c r="T42" s="43">
        <v>0</v>
      </c>
      <c r="U42" s="41">
        <f t="shared" si="7"/>
        <v>1829962.7520173993</v>
      </c>
    </row>
    <row r="43" spans="2:21" x14ac:dyDescent="0.25">
      <c r="B43" s="36">
        <v>39</v>
      </c>
      <c r="C43" s="30" t="s">
        <v>118</v>
      </c>
      <c r="D43" s="19" t="s">
        <v>29</v>
      </c>
      <c r="E43" s="122"/>
      <c r="F43" s="25">
        <f>22.5*7</f>
        <v>157.5</v>
      </c>
      <c r="G43" s="23">
        <f t="shared" si="2"/>
        <v>1695.33</v>
      </c>
      <c r="H43" s="30">
        <v>4</v>
      </c>
      <c r="I43" s="23">
        <f t="shared" si="3"/>
        <v>13.12</v>
      </c>
      <c r="J43" s="69">
        <v>1984</v>
      </c>
      <c r="K43" s="30">
        <v>2022</v>
      </c>
      <c r="L43" s="30">
        <f t="shared" si="4"/>
        <v>38</v>
      </c>
      <c r="M43" s="30">
        <v>40</v>
      </c>
      <c r="N43" s="37">
        <v>0.1</v>
      </c>
      <c r="O43" s="38">
        <f t="shared" si="5"/>
        <v>2.2499999999999999E-2</v>
      </c>
      <c r="P43" s="41">
        <v>1100</v>
      </c>
      <c r="Q43" s="41">
        <f t="shared" si="6"/>
        <v>1864863</v>
      </c>
      <c r="R43" s="42">
        <f t="shared" si="0"/>
        <v>1594457.8649999998</v>
      </c>
      <c r="S43" s="41">
        <f t="shared" si="1"/>
        <v>270405.13500000024</v>
      </c>
      <c r="T43" s="43">
        <v>0</v>
      </c>
      <c r="U43" s="41">
        <f t="shared" si="7"/>
        <v>270405.13500000024</v>
      </c>
    </row>
    <row r="44" spans="2:21" ht="45" x14ac:dyDescent="0.25">
      <c r="B44" s="36">
        <v>40</v>
      </c>
      <c r="C44" s="30" t="s">
        <v>118</v>
      </c>
      <c r="D44" s="19" t="s">
        <v>30</v>
      </c>
      <c r="E44" s="21" t="s">
        <v>88</v>
      </c>
      <c r="F44" s="25">
        <f>53*19+20*45+20*60+70*20*2</f>
        <v>5907</v>
      </c>
      <c r="G44" s="23">
        <f t="shared" si="2"/>
        <v>63582.947999999997</v>
      </c>
      <c r="H44" s="30">
        <v>4.5</v>
      </c>
      <c r="I44" s="23">
        <f t="shared" si="3"/>
        <v>14.76</v>
      </c>
      <c r="J44" s="69">
        <v>2011</v>
      </c>
      <c r="K44" s="30">
        <v>2022</v>
      </c>
      <c r="L44" s="30">
        <f t="shared" si="4"/>
        <v>11</v>
      </c>
      <c r="M44" s="30">
        <v>40</v>
      </c>
      <c r="N44" s="37">
        <v>0.1</v>
      </c>
      <c r="O44" s="38">
        <f t="shared" si="5"/>
        <v>2.2499999999999999E-2</v>
      </c>
      <c r="P44" s="41">
        <v>1100</v>
      </c>
      <c r="Q44" s="41">
        <f t="shared" si="6"/>
        <v>69941242.799999997</v>
      </c>
      <c r="R44" s="42">
        <f t="shared" si="0"/>
        <v>17310457.592999998</v>
      </c>
      <c r="S44" s="41">
        <f t="shared" si="1"/>
        <v>52630785.207000002</v>
      </c>
      <c r="T44" s="43">
        <v>0</v>
      </c>
      <c r="U44" s="41">
        <f t="shared" si="7"/>
        <v>52630785.207000002</v>
      </c>
    </row>
    <row r="45" spans="2:21" x14ac:dyDescent="0.25">
      <c r="B45" s="36">
        <v>41</v>
      </c>
      <c r="C45" s="30" t="s">
        <v>118</v>
      </c>
      <c r="D45" s="16" t="s">
        <v>61</v>
      </c>
      <c r="E45" s="121" t="s">
        <v>73</v>
      </c>
      <c r="F45" s="6">
        <f>24*11*2+11.5*8.5</f>
        <v>625.75</v>
      </c>
      <c r="G45" s="23">
        <f t="shared" si="2"/>
        <v>6735.5729999999994</v>
      </c>
      <c r="H45" s="4">
        <v>3.5</v>
      </c>
      <c r="I45" s="23">
        <f t="shared" si="3"/>
        <v>11.479999999999999</v>
      </c>
      <c r="J45" s="4">
        <v>1991</v>
      </c>
      <c r="K45" s="30">
        <v>2022</v>
      </c>
      <c r="L45" s="30">
        <f t="shared" si="4"/>
        <v>31</v>
      </c>
      <c r="M45" s="30">
        <v>60</v>
      </c>
      <c r="N45" s="37">
        <v>0.1</v>
      </c>
      <c r="O45" s="38">
        <f t="shared" si="5"/>
        <v>1.5000000000000001E-2</v>
      </c>
      <c r="P45" s="41">
        <v>1500</v>
      </c>
      <c r="Q45" s="41">
        <f t="shared" si="6"/>
        <v>10103359.5</v>
      </c>
      <c r="R45" s="42">
        <f t="shared" si="0"/>
        <v>4698062.1675000004</v>
      </c>
      <c r="S45" s="41">
        <f t="shared" si="1"/>
        <v>5405297.3324999996</v>
      </c>
      <c r="T45" s="43">
        <v>0</v>
      </c>
      <c r="U45" s="41">
        <f t="shared" si="7"/>
        <v>5405297.3324999996</v>
      </c>
    </row>
    <row r="46" spans="2:21" x14ac:dyDescent="0.25">
      <c r="B46" s="36">
        <v>42</v>
      </c>
      <c r="C46" s="30" t="s">
        <v>121</v>
      </c>
      <c r="D46" s="16" t="s">
        <v>62</v>
      </c>
      <c r="E46" s="122"/>
      <c r="F46" s="6">
        <f>24*11*2+11.5*8.5</f>
        <v>625.75</v>
      </c>
      <c r="G46" s="23">
        <f t="shared" si="2"/>
        <v>6735.5729999999994</v>
      </c>
      <c r="H46" s="4">
        <v>3.5</v>
      </c>
      <c r="I46" s="23">
        <f t="shared" si="3"/>
        <v>11.479999999999999</v>
      </c>
      <c r="J46" s="4">
        <v>1991</v>
      </c>
      <c r="K46" s="30">
        <v>2022</v>
      </c>
      <c r="L46" s="30">
        <f t="shared" si="4"/>
        <v>31</v>
      </c>
      <c r="M46" s="30">
        <v>60</v>
      </c>
      <c r="N46" s="37">
        <v>0.1</v>
      </c>
      <c r="O46" s="38">
        <f t="shared" si="5"/>
        <v>1.5000000000000001E-2</v>
      </c>
      <c r="P46" s="41">
        <v>1500</v>
      </c>
      <c r="Q46" s="41">
        <f t="shared" si="6"/>
        <v>10103359.5</v>
      </c>
      <c r="R46" s="42">
        <f t="shared" si="0"/>
        <v>4698062.1675000004</v>
      </c>
      <c r="S46" s="41">
        <f t="shared" si="1"/>
        <v>5405297.3324999996</v>
      </c>
      <c r="T46" s="43">
        <v>0</v>
      </c>
      <c r="U46" s="41">
        <f t="shared" si="7"/>
        <v>5405297.3324999996</v>
      </c>
    </row>
    <row r="47" spans="2:21" x14ac:dyDescent="0.25">
      <c r="B47" s="36">
        <v>43</v>
      </c>
      <c r="C47" s="30" t="s">
        <v>122</v>
      </c>
      <c r="D47" s="16" t="s">
        <v>63</v>
      </c>
      <c r="E47" s="125"/>
      <c r="F47" s="6">
        <f>11.5*8.5</f>
        <v>97.75</v>
      </c>
      <c r="G47" s="23">
        <f t="shared" si="2"/>
        <v>1052.181</v>
      </c>
      <c r="H47" s="4">
        <v>3.5</v>
      </c>
      <c r="I47" s="23">
        <f t="shared" si="3"/>
        <v>11.479999999999999</v>
      </c>
      <c r="J47" s="4">
        <v>1991</v>
      </c>
      <c r="K47" s="30">
        <v>2022</v>
      </c>
      <c r="L47" s="30">
        <f t="shared" si="4"/>
        <v>31</v>
      </c>
      <c r="M47" s="30">
        <v>60</v>
      </c>
      <c r="N47" s="37">
        <v>0.1</v>
      </c>
      <c r="O47" s="38">
        <f t="shared" si="5"/>
        <v>1.5000000000000001E-2</v>
      </c>
      <c r="P47" s="41">
        <v>1500</v>
      </c>
      <c r="Q47" s="41">
        <f t="shared" si="6"/>
        <v>1578271.5</v>
      </c>
      <c r="R47" s="42">
        <f t="shared" si="0"/>
        <v>733896.24750000006</v>
      </c>
      <c r="S47" s="41">
        <f t="shared" si="1"/>
        <v>844375.25249999994</v>
      </c>
      <c r="T47" s="43">
        <v>0</v>
      </c>
      <c r="U47" s="41">
        <f t="shared" si="7"/>
        <v>844375.25249999994</v>
      </c>
    </row>
    <row r="48" spans="2:21" x14ac:dyDescent="0.25">
      <c r="B48" s="36">
        <v>44</v>
      </c>
      <c r="C48" s="30" t="s">
        <v>118</v>
      </c>
      <c r="D48" s="19" t="s">
        <v>98</v>
      </c>
      <c r="E48" s="121" t="s">
        <v>73</v>
      </c>
      <c r="F48" s="30">
        <v>800</v>
      </c>
      <c r="G48" s="23">
        <f t="shared" si="2"/>
        <v>8611.1999999999989</v>
      </c>
      <c r="H48" s="30">
        <v>4</v>
      </c>
      <c r="I48" s="23">
        <f t="shared" si="3"/>
        <v>13.12</v>
      </c>
      <c r="J48" s="69">
        <v>1993</v>
      </c>
      <c r="K48" s="30">
        <v>2022</v>
      </c>
      <c r="L48" s="30">
        <f t="shared" si="4"/>
        <v>29</v>
      </c>
      <c r="M48" s="30">
        <v>60</v>
      </c>
      <c r="N48" s="37">
        <v>0.1</v>
      </c>
      <c r="O48" s="38">
        <f t="shared" si="5"/>
        <v>1.5000000000000001E-2</v>
      </c>
      <c r="P48" s="41">
        <v>1400</v>
      </c>
      <c r="Q48" s="41">
        <f t="shared" si="6"/>
        <v>12055679.999999998</v>
      </c>
      <c r="R48" s="42">
        <f t="shared" si="0"/>
        <v>5244220.8</v>
      </c>
      <c r="S48" s="41">
        <f t="shared" si="1"/>
        <v>6811459.1999999983</v>
      </c>
      <c r="T48" s="43">
        <v>0</v>
      </c>
      <c r="U48" s="41">
        <f t="shared" si="7"/>
        <v>6811459.1999999983</v>
      </c>
    </row>
    <row r="49" spans="2:21" x14ac:dyDescent="0.25">
      <c r="B49" s="36">
        <v>45</v>
      </c>
      <c r="C49" s="30" t="s">
        <v>121</v>
      </c>
      <c r="D49" s="19" t="s">
        <v>99</v>
      </c>
      <c r="E49" s="125"/>
      <c r="F49" s="30">
        <v>800</v>
      </c>
      <c r="G49" s="23">
        <f t="shared" si="2"/>
        <v>8611.1999999999989</v>
      </c>
      <c r="H49" s="30">
        <v>4</v>
      </c>
      <c r="I49" s="23">
        <f t="shared" si="3"/>
        <v>13.12</v>
      </c>
      <c r="J49" s="69">
        <v>1993</v>
      </c>
      <c r="K49" s="30">
        <v>2022</v>
      </c>
      <c r="L49" s="30">
        <f t="shared" si="4"/>
        <v>29</v>
      </c>
      <c r="M49" s="30">
        <v>60</v>
      </c>
      <c r="N49" s="37">
        <v>0.1</v>
      </c>
      <c r="O49" s="38">
        <f t="shared" si="5"/>
        <v>1.5000000000000001E-2</v>
      </c>
      <c r="P49" s="41">
        <v>1400</v>
      </c>
      <c r="Q49" s="41">
        <f t="shared" si="6"/>
        <v>12055679.999999998</v>
      </c>
      <c r="R49" s="42">
        <f t="shared" si="0"/>
        <v>5244220.8</v>
      </c>
      <c r="S49" s="41">
        <f t="shared" si="1"/>
        <v>6811459.1999999983</v>
      </c>
      <c r="T49" s="43">
        <v>0</v>
      </c>
      <c r="U49" s="41">
        <f t="shared" si="7"/>
        <v>6811459.1999999983</v>
      </c>
    </row>
    <row r="50" spans="2:21" x14ac:dyDescent="0.25">
      <c r="B50" s="36">
        <v>46</v>
      </c>
      <c r="C50" s="30" t="s">
        <v>118</v>
      </c>
      <c r="D50" s="16" t="s">
        <v>64</v>
      </c>
      <c r="E50" s="121" t="s">
        <v>73</v>
      </c>
      <c r="F50" s="6">
        <f>19.5*7.5+18.5*7.5</f>
        <v>285</v>
      </c>
      <c r="G50" s="23">
        <f t="shared" si="2"/>
        <v>3067.74</v>
      </c>
      <c r="H50" s="4">
        <v>3</v>
      </c>
      <c r="I50" s="23">
        <f t="shared" si="3"/>
        <v>9.84</v>
      </c>
      <c r="J50" s="4">
        <v>1977</v>
      </c>
      <c r="K50" s="30">
        <v>2022</v>
      </c>
      <c r="L50" s="30">
        <f t="shared" si="4"/>
        <v>45</v>
      </c>
      <c r="M50" s="30">
        <v>60</v>
      </c>
      <c r="N50" s="37">
        <v>0.1</v>
      </c>
      <c r="O50" s="38">
        <f t="shared" si="5"/>
        <v>1.5000000000000001E-2</v>
      </c>
      <c r="P50" s="41">
        <v>1400</v>
      </c>
      <c r="Q50" s="41">
        <f t="shared" si="6"/>
        <v>4294836</v>
      </c>
      <c r="R50" s="42">
        <f t="shared" si="0"/>
        <v>2899014.3000000003</v>
      </c>
      <c r="S50" s="41">
        <f t="shared" si="1"/>
        <v>1395821.6999999997</v>
      </c>
      <c r="T50" s="43">
        <v>0</v>
      </c>
      <c r="U50" s="41">
        <f t="shared" si="7"/>
        <v>1395821.6999999997</v>
      </c>
    </row>
    <row r="51" spans="2:21" x14ac:dyDescent="0.25">
      <c r="B51" s="36">
        <v>47</v>
      </c>
      <c r="C51" s="30" t="s">
        <v>121</v>
      </c>
      <c r="D51" s="16" t="s">
        <v>65</v>
      </c>
      <c r="E51" s="125"/>
      <c r="F51" s="6">
        <f>4*16</f>
        <v>64</v>
      </c>
      <c r="G51" s="23">
        <f t="shared" si="2"/>
        <v>688.89599999999996</v>
      </c>
      <c r="H51" s="4">
        <v>3</v>
      </c>
      <c r="I51" s="23">
        <f t="shared" si="3"/>
        <v>9.84</v>
      </c>
      <c r="J51" s="4">
        <v>1977</v>
      </c>
      <c r="K51" s="30">
        <v>2022</v>
      </c>
      <c r="L51" s="30">
        <f t="shared" si="4"/>
        <v>45</v>
      </c>
      <c r="M51" s="30">
        <v>60</v>
      </c>
      <c r="N51" s="37">
        <v>0.1</v>
      </c>
      <c r="O51" s="38">
        <f t="shared" si="5"/>
        <v>1.5000000000000001E-2</v>
      </c>
      <c r="P51" s="41">
        <v>1400</v>
      </c>
      <c r="Q51" s="41">
        <f t="shared" si="6"/>
        <v>964454.39999999991</v>
      </c>
      <c r="R51" s="42">
        <f t="shared" si="0"/>
        <v>651006.71999999997</v>
      </c>
      <c r="S51" s="41">
        <f t="shared" si="1"/>
        <v>313447.67999999993</v>
      </c>
      <c r="T51" s="43">
        <v>0</v>
      </c>
      <c r="U51" s="41">
        <f t="shared" si="7"/>
        <v>313447.67999999993</v>
      </c>
    </row>
    <row r="52" spans="2:21" ht="25.5" customHeight="1" x14ac:dyDescent="0.25">
      <c r="B52" s="36">
        <v>48</v>
      </c>
      <c r="C52" s="30" t="s">
        <v>118</v>
      </c>
      <c r="D52" s="19" t="s">
        <v>31</v>
      </c>
      <c r="E52" s="19" t="s">
        <v>73</v>
      </c>
      <c r="F52" s="25">
        <f>11.75*9.5</f>
        <v>111.625</v>
      </c>
      <c r="G52" s="23">
        <f t="shared" si="2"/>
        <v>1201.5314999999998</v>
      </c>
      <c r="H52" s="30">
        <v>3</v>
      </c>
      <c r="I52" s="23">
        <f t="shared" si="3"/>
        <v>9.84</v>
      </c>
      <c r="J52" s="69">
        <v>1984</v>
      </c>
      <c r="K52" s="30">
        <v>2022</v>
      </c>
      <c r="L52" s="30">
        <f t="shared" si="4"/>
        <v>38</v>
      </c>
      <c r="M52" s="30">
        <v>60</v>
      </c>
      <c r="N52" s="37">
        <v>0.1</v>
      </c>
      <c r="O52" s="38">
        <f t="shared" si="5"/>
        <v>1.5000000000000001E-2</v>
      </c>
      <c r="P52" s="41">
        <v>1400</v>
      </c>
      <c r="Q52" s="41">
        <f t="shared" si="6"/>
        <v>1682144.0999999999</v>
      </c>
      <c r="R52" s="42">
        <f t="shared" si="0"/>
        <v>958822.13699999999</v>
      </c>
      <c r="S52" s="41">
        <f t="shared" si="1"/>
        <v>723321.96299999987</v>
      </c>
      <c r="T52" s="43">
        <v>0</v>
      </c>
      <c r="U52" s="41">
        <f t="shared" si="7"/>
        <v>723321.96299999987</v>
      </c>
    </row>
    <row r="53" spans="2:21" x14ac:dyDescent="0.25">
      <c r="B53" s="36">
        <v>49</v>
      </c>
      <c r="C53" s="30" t="s">
        <v>118</v>
      </c>
      <c r="D53" s="16" t="s">
        <v>32</v>
      </c>
      <c r="E53" s="121" t="s">
        <v>74</v>
      </c>
      <c r="F53" s="6">
        <f>135*15+70*25</f>
        <v>3775</v>
      </c>
      <c r="G53" s="23">
        <f t="shared" si="2"/>
        <v>40634.1</v>
      </c>
      <c r="H53" s="4">
        <v>4.5</v>
      </c>
      <c r="I53" s="23">
        <f t="shared" si="3"/>
        <v>14.76</v>
      </c>
      <c r="J53" s="4">
        <v>1993</v>
      </c>
      <c r="K53" s="30">
        <v>2022</v>
      </c>
      <c r="L53" s="30">
        <f t="shared" si="4"/>
        <v>29</v>
      </c>
      <c r="M53" s="30">
        <v>40</v>
      </c>
      <c r="N53" s="37">
        <v>0.1</v>
      </c>
      <c r="O53" s="38">
        <f t="shared" si="5"/>
        <v>2.2499999999999999E-2</v>
      </c>
      <c r="P53" s="41">
        <v>1400</v>
      </c>
      <c r="Q53" s="41">
        <f t="shared" si="6"/>
        <v>56887740</v>
      </c>
      <c r="R53" s="42">
        <f t="shared" si="0"/>
        <v>37119250.349999994</v>
      </c>
      <c r="S53" s="41">
        <f t="shared" si="1"/>
        <v>19768489.650000006</v>
      </c>
      <c r="T53" s="43">
        <v>0</v>
      </c>
      <c r="U53" s="41">
        <f t="shared" si="7"/>
        <v>19768489.650000006</v>
      </c>
    </row>
    <row r="54" spans="2:21" x14ac:dyDescent="0.25">
      <c r="B54" s="36">
        <v>50</v>
      </c>
      <c r="C54" s="30" t="s">
        <v>118</v>
      </c>
      <c r="D54" s="16" t="s">
        <v>33</v>
      </c>
      <c r="E54" s="122"/>
      <c r="F54" s="6">
        <f>50*28</f>
        <v>1400</v>
      </c>
      <c r="G54" s="23">
        <f t="shared" si="2"/>
        <v>15069.599999999999</v>
      </c>
      <c r="H54" s="4">
        <v>4.5</v>
      </c>
      <c r="I54" s="23">
        <f t="shared" si="3"/>
        <v>14.76</v>
      </c>
      <c r="J54" s="4">
        <v>2014</v>
      </c>
      <c r="K54" s="30">
        <v>2022</v>
      </c>
      <c r="L54" s="30">
        <f t="shared" si="4"/>
        <v>8</v>
      </c>
      <c r="M54" s="30">
        <v>40</v>
      </c>
      <c r="N54" s="37">
        <v>0.1</v>
      </c>
      <c r="O54" s="38">
        <f t="shared" si="5"/>
        <v>2.2499999999999999E-2</v>
      </c>
      <c r="P54" s="41">
        <v>1400</v>
      </c>
      <c r="Q54" s="41">
        <f t="shared" si="6"/>
        <v>21097439.999999996</v>
      </c>
      <c r="R54" s="42">
        <f t="shared" si="0"/>
        <v>3797539.1999999993</v>
      </c>
      <c r="S54" s="41">
        <f t="shared" si="1"/>
        <v>17299900.799999997</v>
      </c>
      <c r="T54" s="43">
        <v>0</v>
      </c>
      <c r="U54" s="41">
        <f t="shared" si="7"/>
        <v>17299900.799999997</v>
      </c>
    </row>
    <row r="55" spans="2:21" x14ac:dyDescent="0.25">
      <c r="B55" s="36">
        <v>51</v>
      </c>
      <c r="C55" s="30" t="s">
        <v>118</v>
      </c>
      <c r="D55" s="16" t="s">
        <v>34</v>
      </c>
      <c r="E55" s="125"/>
      <c r="F55" s="6">
        <f>80*10</f>
        <v>800</v>
      </c>
      <c r="G55" s="23">
        <f t="shared" si="2"/>
        <v>8611.1999999999989</v>
      </c>
      <c r="H55" s="4">
        <v>4.5</v>
      </c>
      <c r="I55" s="23">
        <f t="shared" si="3"/>
        <v>14.76</v>
      </c>
      <c r="J55" s="4">
        <v>2003</v>
      </c>
      <c r="K55" s="30">
        <v>2022</v>
      </c>
      <c r="L55" s="30">
        <f t="shared" si="4"/>
        <v>19</v>
      </c>
      <c r="M55" s="30">
        <v>40</v>
      </c>
      <c r="N55" s="37">
        <v>0.1</v>
      </c>
      <c r="O55" s="38">
        <f t="shared" si="5"/>
        <v>2.2499999999999999E-2</v>
      </c>
      <c r="P55" s="41">
        <v>1400</v>
      </c>
      <c r="Q55" s="41">
        <f t="shared" si="6"/>
        <v>12055679.999999998</v>
      </c>
      <c r="R55" s="42">
        <f t="shared" si="0"/>
        <v>5153803.1999999983</v>
      </c>
      <c r="S55" s="41">
        <f t="shared" si="1"/>
        <v>6901876.7999999998</v>
      </c>
      <c r="T55" s="43">
        <v>0</v>
      </c>
      <c r="U55" s="41">
        <f t="shared" si="7"/>
        <v>6901876.7999999998</v>
      </c>
    </row>
    <row r="56" spans="2:21" ht="30" x14ac:dyDescent="0.25">
      <c r="B56" s="36">
        <v>52</v>
      </c>
      <c r="C56" s="30" t="s">
        <v>118</v>
      </c>
      <c r="D56" s="19" t="s">
        <v>2</v>
      </c>
      <c r="E56" s="19" t="s">
        <v>73</v>
      </c>
      <c r="F56" s="25">
        <f>9.5*11.75</f>
        <v>111.625</v>
      </c>
      <c r="G56" s="23">
        <f t="shared" si="2"/>
        <v>1201.5314999999998</v>
      </c>
      <c r="H56" s="30">
        <v>3</v>
      </c>
      <c r="I56" s="23">
        <f t="shared" si="3"/>
        <v>9.84</v>
      </c>
      <c r="J56" s="69">
        <v>2003</v>
      </c>
      <c r="K56" s="30">
        <v>2022</v>
      </c>
      <c r="L56" s="30">
        <f t="shared" si="4"/>
        <v>19</v>
      </c>
      <c r="M56" s="30">
        <v>60</v>
      </c>
      <c r="N56" s="37">
        <v>0.1</v>
      </c>
      <c r="O56" s="38">
        <f t="shared" si="5"/>
        <v>1.5000000000000001E-2</v>
      </c>
      <c r="P56" s="41">
        <v>1400</v>
      </c>
      <c r="Q56" s="41">
        <f t="shared" si="6"/>
        <v>1682144.0999999999</v>
      </c>
      <c r="R56" s="42">
        <f t="shared" si="0"/>
        <v>479411.06849999999</v>
      </c>
      <c r="S56" s="41">
        <f t="shared" si="1"/>
        <v>1202733.0314999998</v>
      </c>
      <c r="T56" s="43">
        <v>0</v>
      </c>
      <c r="U56" s="41">
        <f t="shared" si="7"/>
        <v>1202733.0314999998</v>
      </c>
    </row>
    <row r="57" spans="2:21" ht="20.25" customHeight="1" x14ac:dyDescent="0.25">
      <c r="B57" s="126" t="s">
        <v>120</v>
      </c>
      <c r="C57" s="127"/>
      <c r="D57" s="127"/>
      <c r="E57" s="128"/>
      <c r="F57" s="4"/>
      <c r="G57" s="65">
        <f>SUM(G5:G56)</f>
        <v>1043140.8825863998</v>
      </c>
      <c r="H57" s="4"/>
      <c r="I57" s="129"/>
      <c r="J57" s="130"/>
      <c r="K57" s="130"/>
      <c r="L57" s="130"/>
      <c r="M57" s="130"/>
      <c r="N57" s="130"/>
      <c r="O57" s="130"/>
      <c r="P57" s="131"/>
      <c r="Q57" s="5"/>
      <c r="R57" s="5"/>
      <c r="S57" s="5"/>
      <c r="T57" s="5"/>
      <c r="U57" s="66">
        <f>SUM(U5:U56)</f>
        <v>367642034.97046733</v>
      </c>
    </row>
  </sheetData>
  <mergeCells count="16">
    <mergeCell ref="B3:U3"/>
    <mergeCell ref="E5:E6"/>
    <mergeCell ref="E7:E9"/>
    <mergeCell ref="E11:E12"/>
    <mergeCell ref="E15:E16"/>
    <mergeCell ref="E18:E21"/>
    <mergeCell ref="E50:E51"/>
    <mergeCell ref="E53:E55"/>
    <mergeCell ref="B57:E57"/>
    <mergeCell ref="I57:P57"/>
    <mergeCell ref="E23:E25"/>
    <mergeCell ref="E26:E27"/>
    <mergeCell ref="E29:E36"/>
    <mergeCell ref="E40:E43"/>
    <mergeCell ref="E45:E47"/>
    <mergeCell ref="E48:E49"/>
  </mergeCells>
  <dataValidations count="1">
    <dataValidation type="list" allowBlank="1" showInputMessage="1" showErrorMessage="1" sqref="D5:E5">
      <formula1>$M$2:$M$5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58" workbookViewId="0">
      <selection activeCell="H46" sqref="H46"/>
    </sheetView>
  </sheetViews>
  <sheetFormatPr defaultRowHeight="15" x14ac:dyDescent="0.25"/>
  <cols>
    <col min="1" max="1" width="3.42578125" customWidth="1"/>
    <col min="2" max="2" width="20.5703125" bestFit="1" customWidth="1"/>
    <col min="9" max="9" width="9.140625" style="24"/>
  </cols>
  <sheetData>
    <row r="1" spans="1:9" x14ac:dyDescent="0.25">
      <c r="B1" s="10"/>
      <c r="F1" s="13" t="s">
        <v>77</v>
      </c>
    </row>
    <row r="2" spans="1:9" x14ac:dyDescent="0.25">
      <c r="B2" s="10"/>
    </row>
    <row r="3" spans="1:9" ht="21" x14ac:dyDescent="0.35">
      <c r="A3" s="14" t="s">
        <v>97</v>
      </c>
      <c r="B3" s="10"/>
    </row>
    <row r="4" spans="1:9" x14ac:dyDescent="0.25">
      <c r="B4" s="10"/>
    </row>
    <row r="5" spans="1:9" ht="45" x14ac:dyDescent="0.25">
      <c r="A5" s="27" t="s">
        <v>3</v>
      </c>
      <c r="B5" s="28" t="s">
        <v>71</v>
      </c>
      <c r="C5" s="28" t="s">
        <v>70</v>
      </c>
      <c r="D5" s="28" t="s">
        <v>94</v>
      </c>
      <c r="E5" s="28" t="s">
        <v>95</v>
      </c>
      <c r="F5" s="28" t="s">
        <v>92</v>
      </c>
      <c r="G5" s="28" t="s">
        <v>96</v>
      </c>
      <c r="H5" s="29" t="s">
        <v>83</v>
      </c>
      <c r="I5" s="28" t="s">
        <v>84</v>
      </c>
    </row>
    <row r="6" spans="1:9" ht="15" customHeight="1" x14ac:dyDescent="0.25">
      <c r="A6" s="4">
        <v>1</v>
      </c>
      <c r="B6" s="11" t="s">
        <v>36</v>
      </c>
      <c r="C6" s="4">
        <v>3</v>
      </c>
      <c r="D6" s="4">
        <v>178</v>
      </c>
      <c r="E6" s="4">
        <f>C6*D6</f>
        <v>534</v>
      </c>
      <c r="F6" s="4">
        <v>3.5</v>
      </c>
      <c r="G6" s="4" t="s">
        <v>66</v>
      </c>
      <c r="H6" s="121" t="s">
        <v>82</v>
      </c>
      <c r="I6" s="4">
        <v>1977</v>
      </c>
    </row>
    <row r="7" spans="1:9" x14ac:dyDescent="0.25">
      <c r="A7" s="4">
        <v>2</v>
      </c>
      <c r="B7" s="11" t="s">
        <v>37</v>
      </c>
      <c r="C7" s="4">
        <v>6</v>
      </c>
      <c r="D7" s="4">
        <v>169</v>
      </c>
      <c r="E7" s="4">
        <f t="shared" ref="E7:E46" si="0">C7*D7</f>
        <v>1014</v>
      </c>
      <c r="F7" s="4">
        <v>3.5</v>
      </c>
      <c r="G7" s="4" t="s">
        <v>66</v>
      </c>
      <c r="H7" s="122"/>
      <c r="I7" s="4">
        <v>1978</v>
      </c>
    </row>
    <row r="8" spans="1:9" x14ac:dyDescent="0.25">
      <c r="A8" s="4">
        <v>3</v>
      </c>
      <c r="B8" s="11" t="s">
        <v>37</v>
      </c>
      <c r="C8" s="4">
        <v>2</v>
      </c>
      <c r="D8" s="4">
        <v>169</v>
      </c>
      <c r="E8" s="4">
        <f t="shared" ref="E8" si="1">C8*D8</f>
        <v>338</v>
      </c>
      <c r="F8" s="4">
        <v>3.5</v>
      </c>
      <c r="G8" s="4" t="s">
        <v>66</v>
      </c>
      <c r="H8" s="122"/>
      <c r="I8" s="4">
        <v>1988</v>
      </c>
    </row>
    <row r="9" spans="1:9" x14ac:dyDescent="0.25">
      <c r="A9" s="4">
        <v>4</v>
      </c>
      <c r="B9" s="11" t="s">
        <v>38</v>
      </c>
      <c r="C9" s="4">
        <v>4</v>
      </c>
      <c r="D9" s="4">
        <v>165</v>
      </c>
      <c r="E9" s="4">
        <f t="shared" si="0"/>
        <v>660</v>
      </c>
      <c r="F9" s="4">
        <v>6</v>
      </c>
      <c r="G9" s="4" t="s">
        <v>67</v>
      </c>
      <c r="H9" s="122"/>
      <c r="I9" s="4">
        <v>1989</v>
      </c>
    </row>
    <row r="10" spans="1:9" x14ac:dyDescent="0.25">
      <c r="A10" s="4">
        <v>5</v>
      </c>
      <c r="B10" s="11" t="s">
        <v>39</v>
      </c>
      <c r="C10" s="4">
        <v>12</v>
      </c>
      <c r="D10" s="4">
        <v>140</v>
      </c>
      <c r="E10" s="4">
        <f t="shared" si="0"/>
        <v>1680</v>
      </c>
      <c r="F10" s="4">
        <v>6</v>
      </c>
      <c r="G10" s="4" t="s">
        <v>68</v>
      </c>
      <c r="H10" s="122"/>
      <c r="I10" s="4">
        <v>1977</v>
      </c>
    </row>
    <row r="11" spans="1:9" x14ac:dyDescent="0.25">
      <c r="A11" s="4">
        <v>6</v>
      </c>
      <c r="B11" s="11" t="s">
        <v>39</v>
      </c>
      <c r="C11" s="4">
        <v>6</v>
      </c>
      <c r="D11" s="4">
        <v>140</v>
      </c>
      <c r="E11" s="4">
        <f t="shared" ref="E11:E12" si="2">C11*D11</f>
        <v>840</v>
      </c>
      <c r="F11" s="4">
        <v>6</v>
      </c>
      <c r="G11" s="4" t="s">
        <v>68</v>
      </c>
      <c r="H11" s="122"/>
      <c r="I11" s="4">
        <v>1983</v>
      </c>
    </row>
    <row r="12" spans="1:9" x14ac:dyDescent="0.25">
      <c r="A12" s="4">
        <v>7</v>
      </c>
      <c r="B12" s="11" t="s">
        <v>39</v>
      </c>
      <c r="C12" s="4">
        <v>6</v>
      </c>
      <c r="D12" s="4">
        <v>140</v>
      </c>
      <c r="E12" s="4">
        <f t="shared" si="2"/>
        <v>840</v>
      </c>
      <c r="F12" s="4">
        <v>6</v>
      </c>
      <c r="G12" s="4" t="s">
        <v>68</v>
      </c>
      <c r="H12" s="122"/>
      <c r="I12" s="4">
        <v>1984</v>
      </c>
    </row>
    <row r="13" spans="1:9" x14ac:dyDescent="0.25">
      <c r="A13" s="4">
        <v>8</v>
      </c>
      <c r="B13" s="11" t="s">
        <v>40</v>
      </c>
      <c r="C13" s="4">
        <v>12</v>
      </c>
      <c r="D13" s="4">
        <v>116</v>
      </c>
      <c r="E13" s="4">
        <f t="shared" si="0"/>
        <v>1392</v>
      </c>
      <c r="F13" s="4">
        <v>6</v>
      </c>
      <c r="G13" s="4" t="s">
        <v>67</v>
      </c>
      <c r="H13" s="122"/>
      <c r="I13" s="4">
        <v>1989</v>
      </c>
    </row>
    <row r="14" spans="1:9" x14ac:dyDescent="0.25">
      <c r="A14" s="4">
        <v>9</v>
      </c>
      <c r="B14" s="11" t="s">
        <v>41</v>
      </c>
      <c r="C14" s="4">
        <v>12</v>
      </c>
      <c r="D14" s="4">
        <v>65</v>
      </c>
      <c r="E14" s="4">
        <f t="shared" si="0"/>
        <v>780</v>
      </c>
      <c r="F14" s="4">
        <v>6</v>
      </c>
      <c r="G14" s="4" t="s">
        <v>67</v>
      </c>
      <c r="H14" s="122"/>
      <c r="I14" s="4">
        <v>1977</v>
      </c>
    </row>
    <row r="15" spans="1:9" x14ac:dyDescent="0.25">
      <c r="A15" s="4">
        <v>10</v>
      </c>
      <c r="B15" s="11" t="s">
        <v>41</v>
      </c>
      <c r="C15" s="4">
        <v>8</v>
      </c>
      <c r="D15" s="4">
        <v>65</v>
      </c>
      <c r="E15" s="4">
        <f t="shared" ref="E15:E18" si="3">C15*D15</f>
        <v>520</v>
      </c>
      <c r="F15" s="4">
        <v>6</v>
      </c>
      <c r="G15" s="4" t="s">
        <v>67</v>
      </c>
      <c r="H15" s="122"/>
      <c r="I15" s="4">
        <v>1983</v>
      </c>
    </row>
    <row r="16" spans="1:9" x14ac:dyDescent="0.25">
      <c r="A16" s="4">
        <v>11</v>
      </c>
      <c r="B16" s="11" t="s">
        <v>41</v>
      </c>
      <c r="C16" s="4">
        <v>8</v>
      </c>
      <c r="D16" s="4">
        <v>65</v>
      </c>
      <c r="E16" s="4">
        <f t="shared" si="3"/>
        <v>520</v>
      </c>
      <c r="F16" s="4">
        <v>6</v>
      </c>
      <c r="G16" s="4" t="s">
        <v>67</v>
      </c>
      <c r="H16" s="122"/>
      <c r="I16" s="4">
        <v>1984</v>
      </c>
    </row>
    <row r="17" spans="1:9" x14ac:dyDescent="0.25">
      <c r="A17" s="4">
        <v>12</v>
      </c>
      <c r="B17" s="11" t="s">
        <v>41</v>
      </c>
      <c r="C17" s="4">
        <v>4</v>
      </c>
      <c r="D17" s="4">
        <v>65</v>
      </c>
      <c r="E17" s="4">
        <f t="shared" si="3"/>
        <v>260</v>
      </c>
      <c r="F17" s="4">
        <v>6</v>
      </c>
      <c r="G17" s="4" t="s">
        <v>67</v>
      </c>
      <c r="H17" s="122"/>
      <c r="I17" s="4">
        <v>1988</v>
      </c>
    </row>
    <row r="18" spans="1:9" x14ac:dyDescent="0.25">
      <c r="A18" s="4">
        <v>13</v>
      </c>
      <c r="B18" s="11" t="s">
        <v>41</v>
      </c>
      <c r="C18" s="4">
        <v>8</v>
      </c>
      <c r="D18" s="4">
        <v>65</v>
      </c>
      <c r="E18" s="4">
        <f t="shared" si="3"/>
        <v>520</v>
      </c>
      <c r="F18" s="4">
        <v>6</v>
      </c>
      <c r="G18" s="4" t="s">
        <v>67</v>
      </c>
      <c r="H18" s="122"/>
      <c r="I18" s="4">
        <v>1989</v>
      </c>
    </row>
    <row r="19" spans="1:9" x14ac:dyDescent="0.25">
      <c r="A19" s="4">
        <v>14</v>
      </c>
      <c r="B19" s="11" t="s">
        <v>42</v>
      </c>
      <c r="C19" s="4">
        <v>16</v>
      </c>
      <c r="D19" s="4">
        <v>47.5</v>
      </c>
      <c r="E19" s="4">
        <f t="shared" si="0"/>
        <v>760</v>
      </c>
      <c r="F19" s="4">
        <v>6</v>
      </c>
      <c r="G19" s="4" t="s">
        <v>67</v>
      </c>
      <c r="H19" s="122"/>
      <c r="I19" s="4">
        <v>1983</v>
      </c>
    </row>
    <row r="20" spans="1:9" x14ac:dyDescent="0.25">
      <c r="A20" s="4">
        <v>15</v>
      </c>
      <c r="B20" s="11" t="s">
        <v>42</v>
      </c>
      <c r="C20" s="4">
        <v>16</v>
      </c>
      <c r="D20" s="4">
        <v>47.5</v>
      </c>
      <c r="E20" s="4">
        <f t="shared" ref="E20:E21" si="4">C20*D20</f>
        <v>760</v>
      </c>
      <c r="F20" s="4">
        <v>6</v>
      </c>
      <c r="G20" s="4" t="s">
        <v>67</v>
      </c>
      <c r="H20" s="122"/>
      <c r="I20" s="4">
        <v>1984</v>
      </c>
    </row>
    <row r="21" spans="1:9" x14ac:dyDescent="0.25">
      <c r="A21" s="4">
        <v>16</v>
      </c>
      <c r="B21" s="11" t="s">
        <v>42</v>
      </c>
      <c r="C21" s="4">
        <v>8</v>
      </c>
      <c r="D21" s="4">
        <v>47.5</v>
      </c>
      <c r="E21" s="4">
        <f t="shared" si="4"/>
        <v>380</v>
      </c>
      <c r="F21" s="4">
        <v>6</v>
      </c>
      <c r="G21" s="4" t="s">
        <v>67</v>
      </c>
      <c r="H21" s="122"/>
      <c r="I21" s="4">
        <v>1998</v>
      </c>
    </row>
    <row r="22" spans="1:9" x14ac:dyDescent="0.25">
      <c r="A22" s="4">
        <v>17</v>
      </c>
      <c r="B22" s="11" t="s">
        <v>43</v>
      </c>
      <c r="C22" s="4">
        <v>24</v>
      </c>
      <c r="D22" s="4">
        <v>49</v>
      </c>
      <c r="E22" s="4">
        <f t="shared" si="0"/>
        <v>1176</v>
      </c>
      <c r="F22" s="4">
        <v>10</v>
      </c>
      <c r="G22" s="4" t="s">
        <v>69</v>
      </c>
      <c r="H22" s="122"/>
      <c r="I22" s="4">
        <v>1988</v>
      </c>
    </row>
    <row r="23" spans="1:9" x14ac:dyDescent="0.25">
      <c r="A23" s="4">
        <v>18</v>
      </c>
      <c r="B23" s="11" t="s">
        <v>43</v>
      </c>
      <c r="C23" s="4">
        <v>12</v>
      </c>
      <c r="D23" s="4">
        <v>49</v>
      </c>
      <c r="E23" s="4">
        <f t="shared" ref="E23:E25" si="5">C23*D23</f>
        <v>588</v>
      </c>
      <c r="F23" s="4">
        <v>10</v>
      </c>
      <c r="G23" s="4" t="s">
        <v>69</v>
      </c>
      <c r="H23" s="122"/>
      <c r="I23" s="4">
        <v>1989</v>
      </c>
    </row>
    <row r="24" spans="1:9" x14ac:dyDescent="0.25">
      <c r="A24" s="4">
        <v>19</v>
      </c>
      <c r="B24" s="11" t="s">
        <v>43</v>
      </c>
      <c r="C24" s="4">
        <v>12</v>
      </c>
      <c r="D24" s="4">
        <v>49</v>
      </c>
      <c r="E24" s="4">
        <f t="shared" si="5"/>
        <v>588</v>
      </c>
      <c r="F24" s="4">
        <v>10</v>
      </c>
      <c r="G24" s="4" t="s">
        <v>69</v>
      </c>
      <c r="H24" s="122"/>
      <c r="I24" s="4">
        <v>1990</v>
      </c>
    </row>
    <row r="25" spans="1:9" x14ac:dyDescent="0.25">
      <c r="A25" s="4">
        <v>20</v>
      </c>
      <c r="B25" s="11" t="s">
        <v>43</v>
      </c>
      <c r="C25" s="4">
        <v>6</v>
      </c>
      <c r="D25" s="4">
        <v>49</v>
      </c>
      <c r="E25" s="4">
        <f t="shared" si="5"/>
        <v>294</v>
      </c>
      <c r="F25" s="4">
        <v>10</v>
      </c>
      <c r="G25" s="4" t="s">
        <v>69</v>
      </c>
      <c r="H25" s="122"/>
      <c r="I25" s="4">
        <v>1990</v>
      </c>
    </row>
    <row r="26" spans="1:9" x14ac:dyDescent="0.25">
      <c r="A26" s="4">
        <v>21</v>
      </c>
      <c r="B26" s="11" t="s">
        <v>44</v>
      </c>
      <c r="C26" s="4">
        <v>48</v>
      </c>
      <c r="D26" s="4">
        <v>46.25</v>
      </c>
      <c r="E26" s="4">
        <f t="shared" si="0"/>
        <v>2220</v>
      </c>
      <c r="F26" s="4">
        <v>10</v>
      </c>
      <c r="G26" s="4" t="s">
        <v>69</v>
      </c>
      <c r="H26" s="122"/>
      <c r="I26" s="4">
        <v>1988</v>
      </c>
    </row>
    <row r="27" spans="1:9" x14ac:dyDescent="0.25">
      <c r="A27" s="4">
        <v>22</v>
      </c>
      <c r="B27" s="11" t="s">
        <v>44</v>
      </c>
      <c r="C27" s="4">
        <v>36</v>
      </c>
      <c r="D27" s="4">
        <v>46.25</v>
      </c>
      <c r="E27" s="4">
        <f t="shared" ref="E27:E29" si="6">C27*D27</f>
        <v>1665</v>
      </c>
      <c r="F27" s="4">
        <v>10</v>
      </c>
      <c r="G27" s="4" t="s">
        <v>69</v>
      </c>
      <c r="H27" s="122"/>
      <c r="I27" s="4">
        <v>1989</v>
      </c>
    </row>
    <row r="28" spans="1:9" x14ac:dyDescent="0.25">
      <c r="A28" s="4">
        <v>23</v>
      </c>
      <c r="B28" s="11" t="s">
        <v>44</v>
      </c>
      <c r="C28" s="4">
        <v>24</v>
      </c>
      <c r="D28" s="4">
        <v>46.25</v>
      </c>
      <c r="E28" s="4">
        <f t="shared" si="6"/>
        <v>1110</v>
      </c>
      <c r="F28" s="4">
        <v>10</v>
      </c>
      <c r="G28" s="4" t="s">
        <v>69</v>
      </c>
      <c r="H28" s="122"/>
      <c r="I28" s="4">
        <v>1996</v>
      </c>
    </row>
    <row r="29" spans="1:9" x14ac:dyDescent="0.25">
      <c r="A29" s="4">
        <v>24</v>
      </c>
      <c r="B29" s="11" t="s">
        <v>44</v>
      </c>
      <c r="C29" s="4">
        <v>24</v>
      </c>
      <c r="D29" s="4">
        <v>46.25</v>
      </c>
      <c r="E29" s="4">
        <f t="shared" si="6"/>
        <v>1110</v>
      </c>
      <c r="F29" s="4">
        <v>10</v>
      </c>
      <c r="G29" s="4" t="s">
        <v>69</v>
      </c>
      <c r="H29" s="122"/>
      <c r="I29" s="4">
        <v>1998</v>
      </c>
    </row>
    <row r="30" spans="1:9" x14ac:dyDescent="0.25">
      <c r="A30" s="4">
        <v>25</v>
      </c>
      <c r="B30" s="11" t="s">
        <v>45</v>
      </c>
      <c r="C30" s="4">
        <v>7</v>
      </c>
      <c r="D30" s="4">
        <v>37.119999999999997</v>
      </c>
      <c r="E30" s="4">
        <f t="shared" si="0"/>
        <v>259.83999999999997</v>
      </c>
      <c r="F30" s="4">
        <v>3</v>
      </c>
      <c r="G30" s="4" t="s">
        <v>66</v>
      </c>
      <c r="H30" s="122"/>
      <c r="I30" s="4">
        <v>1977</v>
      </c>
    </row>
    <row r="31" spans="1:9" x14ac:dyDescent="0.25">
      <c r="A31" s="4">
        <v>26</v>
      </c>
      <c r="B31" s="11" t="s">
        <v>45</v>
      </c>
      <c r="C31" s="4">
        <v>26</v>
      </c>
      <c r="D31" s="4">
        <v>37.119999999999997</v>
      </c>
      <c r="E31" s="4">
        <f t="shared" ref="E31:E32" si="7">C31*D31</f>
        <v>965.11999999999989</v>
      </c>
      <c r="F31" s="4">
        <v>3</v>
      </c>
      <c r="G31" s="4" t="s">
        <v>66</v>
      </c>
      <c r="H31" s="122"/>
      <c r="I31" s="4">
        <v>1983</v>
      </c>
    </row>
    <row r="32" spans="1:9" x14ac:dyDescent="0.25">
      <c r="A32" s="4">
        <v>27</v>
      </c>
      <c r="B32" s="11" t="s">
        <v>45</v>
      </c>
      <c r="C32" s="4">
        <v>12</v>
      </c>
      <c r="D32" s="4">
        <v>37.119999999999997</v>
      </c>
      <c r="E32" s="4">
        <f t="shared" si="7"/>
        <v>445.43999999999994</v>
      </c>
      <c r="F32" s="4">
        <v>3</v>
      </c>
      <c r="G32" s="4" t="s">
        <v>66</v>
      </c>
      <c r="H32" s="122"/>
      <c r="I32" s="4">
        <v>1984</v>
      </c>
    </row>
    <row r="33" spans="1:9" x14ac:dyDescent="0.25">
      <c r="A33" s="4">
        <v>28</v>
      </c>
      <c r="B33" s="11" t="s">
        <v>46</v>
      </c>
      <c r="C33" s="4">
        <v>74</v>
      </c>
      <c r="D33" s="4">
        <v>21.6</v>
      </c>
      <c r="E33" s="4">
        <f t="shared" si="0"/>
        <v>1598.4</v>
      </c>
      <c r="F33" s="4">
        <v>3</v>
      </c>
      <c r="G33" s="4" t="s">
        <v>66</v>
      </c>
      <c r="H33" s="122"/>
      <c r="I33" s="4">
        <v>1977</v>
      </c>
    </row>
    <row r="34" spans="1:9" x14ac:dyDescent="0.25">
      <c r="A34" s="4">
        <v>29</v>
      </c>
      <c r="B34" s="11" t="s">
        <v>47</v>
      </c>
      <c r="C34" s="4">
        <v>1</v>
      </c>
      <c r="D34" s="4">
        <f>((70*31.5+50*30)/10.768)</f>
        <v>344.07503714710248</v>
      </c>
      <c r="E34" s="4">
        <f t="shared" si="0"/>
        <v>344.07503714710248</v>
      </c>
      <c r="F34" s="4">
        <v>4</v>
      </c>
      <c r="G34" s="4" t="s">
        <v>66</v>
      </c>
      <c r="H34" s="122"/>
      <c r="I34" s="4">
        <v>1981</v>
      </c>
    </row>
    <row r="35" spans="1:9" x14ac:dyDescent="0.25">
      <c r="A35" s="4">
        <v>30</v>
      </c>
      <c r="B35" s="11" t="s">
        <v>48</v>
      </c>
      <c r="C35" s="4">
        <v>1</v>
      </c>
      <c r="D35" s="4">
        <v>203</v>
      </c>
      <c r="E35" s="4">
        <f t="shared" si="0"/>
        <v>203</v>
      </c>
      <c r="F35" s="4">
        <v>3.5</v>
      </c>
      <c r="G35" s="4" t="s">
        <v>66</v>
      </c>
      <c r="H35" s="122"/>
      <c r="I35" s="4">
        <v>1989</v>
      </c>
    </row>
    <row r="36" spans="1:9" x14ac:dyDescent="0.25">
      <c r="A36" s="4">
        <v>31</v>
      </c>
      <c r="B36" s="11" t="s">
        <v>49</v>
      </c>
      <c r="C36" s="4">
        <v>1</v>
      </c>
      <c r="D36" s="4">
        <f>27*8.75</f>
        <v>236.25</v>
      </c>
      <c r="E36" s="4">
        <f t="shared" si="0"/>
        <v>236.25</v>
      </c>
      <c r="F36" s="4">
        <v>3.5</v>
      </c>
      <c r="G36" s="4" t="s">
        <v>66</v>
      </c>
      <c r="H36" s="122"/>
      <c r="I36" s="4">
        <v>1980</v>
      </c>
    </row>
    <row r="37" spans="1:9" x14ac:dyDescent="0.25">
      <c r="A37" s="4">
        <v>32</v>
      </c>
      <c r="B37" s="11" t="s">
        <v>50</v>
      </c>
      <c r="C37" s="4">
        <v>1</v>
      </c>
      <c r="D37" s="4">
        <v>415</v>
      </c>
      <c r="E37" s="4">
        <f t="shared" si="0"/>
        <v>415</v>
      </c>
      <c r="F37" s="4">
        <v>4.4000000000000004</v>
      </c>
      <c r="G37" s="4" t="s">
        <v>66</v>
      </c>
      <c r="H37" s="122"/>
      <c r="I37" s="4">
        <v>1978</v>
      </c>
    </row>
    <row r="38" spans="1:9" x14ac:dyDescent="0.25">
      <c r="A38" s="4">
        <v>33</v>
      </c>
      <c r="B38" s="11" t="s">
        <v>90</v>
      </c>
      <c r="C38" s="4">
        <v>1</v>
      </c>
      <c r="D38" s="4">
        <v>49</v>
      </c>
      <c r="E38" s="4">
        <f t="shared" ref="E38" si="8">C38*D38</f>
        <v>49</v>
      </c>
      <c r="F38" s="4">
        <v>4.4000000000000004</v>
      </c>
      <c r="G38" s="4" t="s">
        <v>66</v>
      </c>
      <c r="H38" s="122"/>
      <c r="I38" s="4">
        <v>1991</v>
      </c>
    </row>
    <row r="39" spans="1:9" x14ac:dyDescent="0.25">
      <c r="A39" s="4">
        <v>34</v>
      </c>
      <c r="B39" s="11" t="s">
        <v>51</v>
      </c>
      <c r="C39" s="4">
        <v>1</v>
      </c>
      <c r="D39" s="4">
        <v>1034</v>
      </c>
      <c r="E39" s="4">
        <f t="shared" si="0"/>
        <v>1034</v>
      </c>
      <c r="F39" s="4">
        <v>3.5</v>
      </c>
      <c r="G39" s="4" t="s">
        <v>66</v>
      </c>
      <c r="H39" s="122"/>
      <c r="I39" s="4">
        <v>1977</v>
      </c>
    </row>
    <row r="40" spans="1:9" x14ac:dyDescent="0.25">
      <c r="A40" s="4">
        <v>35</v>
      </c>
      <c r="B40" s="11" t="s">
        <v>52</v>
      </c>
      <c r="C40" s="4">
        <v>1</v>
      </c>
      <c r="D40" s="9">
        <f>518+((30*15*2)/10.768)+((30*22)/10.768)</f>
        <v>662.87369985141163</v>
      </c>
      <c r="E40" s="9">
        <f t="shared" si="0"/>
        <v>662.87369985141163</v>
      </c>
      <c r="F40" s="4">
        <v>3.5</v>
      </c>
      <c r="G40" s="4" t="s">
        <v>66</v>
      </c>
      <c r="H40" s="122"/>
      <c r="I40" s="4">
        <v>1977</v>
      </c>
    </row>
    <row r="41" spans="1:9" x14ac:dyDescent="0.25">
      <c r="A41" s="4">
        <v>36</v>
      </c>
      <c r="B41" s="11" t="s">
        <v>91</v>
      </c>
      <c r="C41" s="4">
        <v>1</v>
      </c>
      <c r="D41" s="9">
        <v>61</v>
      </c>
      <c r="E41" s="9">
        <f t="shared" ref="E41" si="9">C41*D41</f>
        <v>61</v>
      </c>
      <c r="F41" s="4">
        <v>3.5</v>
      </c>
      <c r="G41" s="4" t="s">
        <v>66</v>
      </c>
      <c r="H41" s="125"/>
      <c r="I41" s="4">
        <v>2015</v>
      </c>
    </row>
    <row r="42" spans="1:9" ht="165" x14ac:dyDescent="0.25">
      <c r="A42" s="18">
        <v>37</v>
      </c>
      <c r="B42" s="22" t="s">
        <v>53</v>
      </c>
      <c r="C42" s="18">
        <v>1</v>
      </c>
      <c r="D42" s="23">
        <v>82.62</v>
      </c>
      <c r="E42" s="23">
        <f t="shared" si="0"/>
        <v>82.62</v>
      </c>
      <c r="F42" s="18">
        <v>4</v>
      </c>
      <c r="G42" s="18" t="s">
        <v>66</v>
      </c>
      <c r="H42" s="21" t="s">
        <v>75</v>
      </c>
      <c r="I42" s="18">
        <v>1977</v>
      </c>
    </row>
    <row r="43" spans="1:9" ht="45" x14ac:dyDescent="0.25">
      <c r="A43" s="18">
        <v>38</v>
      </c>
      <c r="B43" s="22" t="s">
        <v>54</v>
      </c>
      <c r="C43" s="18">
        <v>1</v>
      </c>
      <c r="D43" s="18"/>
      <c r="E43" s="18">
        <f t="shared" si="0"/>
        <v>0</v>
      </c>
      <c r="F43" s="18">
        <v>7</v>
      </c>
      <c r="G43" s="18" t="s">
        <v>67</v>
      </c>
      <c r="H43" s="33" t="s">
        <v>100</v>
      </c>
      <c r="I43" s="18">
        <v>1993</v>
      </c>
    </row>
    <row r="44" spans="1:9" ht="25.5" customHeight="1" x14ac:dyDescent="0.25">
      <c r="A44" s="18">
        <v>39</v>
      </c>
      <c r="B44" s="22" t="s">
        <v>55</v>
      </c>
      <c r="C44" s="18">
        <v>1</v>
      </c>
      <c r="D44" s="23">
        <f>((22.25*17.75)/10.768)</f>
        <v>36.676959509658246</v>
      </c>
      <c r="E44" s="23">
        <f t="shared" si="0"/>
        <v>36.676959509658246</v>
      </c>
      <c r="F44" s="18">
        <v>12.8</v>
      </c>
      <c r="G44" s="18" t="s">
        <v>66</v>
      </c>
      <c r="H44" s="121" t="s">
        <v>82</v>
      </c>
      <c r="I44" s="18">
        <v>1987</v>
      </c>
    </row>
    <row r="45" spans="1:9" ht="27.75" customHeight="1" x14ac:dyDescent="0.25">
      <c r="A45" s="18">
        <v>40</v>
      </c>
      <c r="B45" s="22" t="s">
        <v>56</v>
      </c>
      <c r="C45" s="18">
        <v>1</v>
      </c>
      <c r="D45" s="18">
        <f>(5*12*2+5*15*2)</f>
        <v>270</v>
      </c>
      <c r="E45" s="18">
        <f t="shared" si="0"/>
        <v>270</v>
      </c>
      <c r="F45" s="18">
        <v>3.5</v>
      </c>
      <c r="G45" s="18" t="s">
        <v>66</v>
      </c>
      <c r="H45" s="125"/>
      <c r="I45" s="18">
        <v>1977</v>
      </c>
    </row>
    <row r="46" spans="1:9" ht="165" x14ac:dyDescent="0.25">
      <c r="A46" s="18">
        <v>41</v>
      </c>
      <c r="B46" s="22" t="s">
        <v>57</v>
      </c>
      <c r="C46" s="18">
        <v>1</v>
      </c>
      <c r="D46" s="18">
        <f>10*15</f>
        <v>150</v>
      </c>
      <c r="E46" s="18">
        <f t="shared" si="0"/>
        <v>150</v>
      </c>
      <c r="F46" s="18">
        <v>4.5</v>
      </c>
      <c r="G46" s="18" t="s">
        <v>66</v>
      </c>
      <c r="H46" s="21" t="s">
        <v>75</v>
      </c>
      <c r="I46" s="18">
        <v>1995</v>
      </c>
    </row>
    <row r="47" spans="1:9" ht="15.75" x14ac:dyDescent="0.25">
      <c r="A47" s="4"/>
      <c r="B47" s="4"/>
      <c r="C47" s="4"/>
      <c r="D47" s="12" t="s">
        <v>0</v>
      </c>
      <c r="E47" s="12">
        <f>SUM(E6:E46)</f>
        <v>27362.295696508172</v>
      </c>
      <c r="F47" s="4"/>
      <c r="G47" s="4"/>
      <c r="H47" s="5"/>
      <c r="I47" s="4"/>
    </row>
  </sheetData>
  <mergeCells count="2">
    <mergeCell ref="H6:H41"/>
    <mergeCell ref="H44:H4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45"/>
  <sheetViews>
    <sheetView workbookViewId="0">
      <selection activeCell="I39" sqref="I39"/>
    </sheetView>
  </sheetViews>
  <sheetFormatPr defaultRowHeight="15" x14ac:dyDescent="0.25"/>
  <cols>
    <col min="2" max="2" width="4.28515625" customWidth="1"/>
    <col min="3" max="3" width="8.7109375" style="45" customWidth="1"/>
    <col min="4" max="4" width="21.7109375" style="63" customWidth="1"/>
    <col min="5" max="5" width="22.7109375" style="63" customWidth="1"/>
    <col min="6" max="6" width="10" style="63" customWidth="1"/>
    <col min="7" max="7" width="10" style="45" hidden="1" customWidth="1"/>
    <col min="8" max="8" width="7.7109375" style="64" hidden="1" customWidth="1"/>
    <col min="9" max="9" width="9.140625" style="45"/>
    <col min="10" max="10" width="7" style="45" hidden="1" customWidth="1"/>
    <col min="11" max="11" width="7.140625" style="45" customWidth="1"/>
    <col min="12" max="12" width="9.140625" style="45"/>
    <col min="13" max="13" width="0" hidden="1" customWidth="1"/>
    <col min="15" max="17" width="0" hidden="1" customWidth="1"/>
    <col min="19" max="19" width="14" customWidth="1"/>
    <col min="20" max="20" width="17.7109375" hidden="1" customWidth="1"/>
    <col min="21" max="21" width="15.28515625" hidden="1" customWidth="1"/>
    <col min="22" max="22" width="0" hidden="1" customWidth="1"/>
    <col min="23" max="23" width="16.7109375" customWidth="1"/>
  </cols>
  <sheetData>
    <row r="2" spans="2:23" ht="15" customHeight="1" x14ac:dyDescent="0.25"/>
    <row r="3" spans="2:23" ht="32.25" customHeight="1" x14ac:dyDescent="0.25">
      <c r="B3" s="132" t="s">
        <v>127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4"/>
    </row>
    <row r="4" spans="2:23" ht="75.75" customHeight="1" x14ac:dyDescent="0.25">
      <c r="B4" s="35" t="s">
        <v>101</v>
      </c>
      <c r="C4" s="34" t="s">
        <v>102</v>
      </c>
      <c r="D4" s="35" t="s">
        <v>103</v>
      </c>
      <c r="E4" s="35" t="s">
        <v>72</v>
      </c>
      <c r="F4" s="35" t="s">
        <v>125</v>
      </c>
      <c r="G4" s="35" t="s">
        <v>126</v>
      </c>
      <c r="H4" s="56" t="s">
        <v>104</v>
      </c>
      <c r="I4" s="35" t="s">
        <v>105</v>
      </c>
      <c r="J4" s="35" t="s">
        <v>124</v>
      </c>
      <c r="K4" s="35" t="s">
        <v>106</v>
      </c>
      <c r="L4" s="35" t="s">
        <v>84</v>
      </c>
      <c r="M4" s="35" t="s">
        <v>107</v>
      </c>
      <c r="N4" s="35" t="s">
        <v>108</v>
      </c>
      <c r="O4" s="35" t="s">
        <v>109</v>
      </c>
      <c r="P4" s="35" t="s">
        <v>110</v>
      </c>
      <c r="Q4" s="35" t="s">
        <v>111</v>
      </c>
      <c r="R4" s="35" t="s">
        <v>112</v>
      </c>
      <c r="S4" s="35" t="s">
        <v>113</v>
      </c>
      <c r="T4" s="35" t="s">
        <v>114</v>
      </c>
      <c r="U4" s="35" t="s">
        <v>115</v>
      </c>
      <c r="V4" s="35" t="s">
        <v>116</v>
      </c>
      <c r="W4" s="35" t="s">
        <v>117</v>
      </c>
    </row>
    <row r="5" spans="2:23" s="47" customFormat="1" ht="15" customHeight="1" x14ac:dyDescent="0.25">
      <c r="B5" s="49">
        <v>1</v>
      </c>
      <c r="C5" s="30" t="s">
        <v>66</v>
      </c>
      <c r="D5" s="19" t="s">
        <v>36</v>
      </c>
      <c r="E5" s="121" t="s">
        <v>119</v>
      </c>
      <c r="F5" s="19">
        <v>3</v>
      </c>
      <c r="G5" s="30">
        <v>178</v>
      </c>
      <c r="H5" s="54">
        <f t="shared" ref="H5:H42" si="0">G5*F5</f>
        <v>534</v>
      </c>
      <c r="I5" s="50">
        <f>10.764*H5</f>
        <v>5747.9759999999997</v>
      </c>
      <c r="J5" s="30">
        <v>3.5</v>
      </c>
      <c r="K5" s="50">
        <f>3.28*J5</f>
        <v>11.479999999999999</v>
      </c>
      <c r="L5" s="30">
        <v>1977</v>
      </c>
      <c r="M5" s="19">
        <v>2022</v>
      </c>
      <c r="N5" s="19">
        <f>M5-L5</f>
        <v>45</v>
      </c>
      <c r="O5" s="19">
        <v>60</v>
      </c>
      <c r="P5" s="51">
        <v>0.1</v>
      </c>
      <c r="Q5" s="52">
        <f>(1-P5)/O5</f>
        <v>1.5000000000000001E-2</v>
      </c>
      <c r="R5" s="39">
        <v>1200</v>
      </c>
      <c r="S5" s="39">
        <f>R5*I5</f>
        <v>6897571.1999999993</v>
      </c>
      <c r="T5" s="39">
        <f t="shared" ref="T5:T44" si="1">S5*Q5*N5</f>
        <v>4655860.5599999996</v>
      </c>
      <c r="U5" s="39">
        <f t="shared" ref="U5:U44" si="2">MAX(S5-T5,0)</f>
        <v>2241710.6399999997</v>
      </c>
      <c r="V5" s="53">
        <v>0</v>
      </c>
      <c r="W5" s="39">
        <f t="shared" ref="W5:W44" si="3">IF(U5&gt;P5*S5,U5*(1-V5),S5*P5)</f>
        <v>2241710.6399999997</v>
      </c>
    </row>
    <row r="6" spans="2:23" x14ac:dyDescent="0.25">
      <c r="B6" s="49">
        <v>2</v>
      </c>
      <c r="C6" s="30" t="s">
        <v>66</v>
      </c>
      <c r="D6" s="19" t="s">
        <v>37</v>
      </c>
      <c r="E6" s="122"/>
      <c r="F6" s="19">
        <v>6</v>
      </c>
      <c r="G6" s="30">
        <v>169</v>
      </c>
      <c r="H6" s="54">
        <f t="shared" si="0"/>
        <v>1014</v>
      </c>
      <c r="I6" s="50">
        <f t="shared" ref="I6:I44" si="4">10.764*H6</f>
        <v>10914.696</v>
      </c>
      <c r="J6" s="30">
        <v>3.5</v>
      </c>
      <c r="K6" s="50">
        <f t="shared" ref="K6:K44" si="5">3.28*J6</f>
        <v>11.479999999999999</v>
      </c>
      <c r="L6" s="30">
        <v>1978</v>
      </c>
      <c r="M6" s="19">
        <v>2022</v>
      </c>
      <c r="N6" s="19">
        <f t="shared" ref="N6:N44" si="6">M6-L6</f>
        <v>44</v>
      </c>
      <c r="O6" s="19">
        <v>60</v>
      </c>
      <c r="P6" s="51">
        <v>0.1</v>
      </c>
      <c r="Q6" s="52">
        <f t="shared" ref="Q6:Q44" si="7">(1-P6)/O6</f>
        <v>1.5000000000000001E-2</v>
      </c>
      <c r="R6" s="39">
        <v>1200</v>
      </c>
      <c r="S6" s="39">
        <f t="shared" ref="S6:S42" si="8">R6*I6</f>
        <v>13097635.199999999</v>
      </c>
      <c r="T6" s="39">
        <f t="shared" si="1"/>
        <v>8644439.2319999989</v>
      </c>
      <c r="U6" s="39">
        <f t="shared" si="2"/>
        <v>4453195.9680000003</v>
      </c>
      <c r="V6" s="53">
        <v>0</v>
      </c>
      <c r="W6" s="39">
        <f t="shared" si="3"/>
        <v>4453195.9680000003</v>
      </c>
    </row>
    <row r="7" spans="2:23" x14ac:dyDescent="0.25">
      <c r="B7" s="49">
        <v>3</v>
      </c>
      <c r="C7" s="30" t="s">
        <v>66</v>
      </c>
      <c r="D7" s="19" t="s">
        <v>37</v>
      </c>
      <c r="E7" s="122"/>
      <c r="F7" s="19">
        <v>2</v>
      </c>
      <c r="G7" s="30">
        <v>169</v>
      </c>
      <c r="H7" s="54">
        <f t="shared" si="0"/>
        <v>338</v>
      </c>
      <c r="I7" s="50">
        <f t="shared" si="4"/>
        <v>3638.232</v>
      </c>
      <c r="J7" s="30">
        <v>3.5</v>
      </c>
      <c r="K7" s="50">
        <f t="shared" si="5"/>
        <v>11.479999999999999</v>
      </c>
      <c r="L7" s="30">
        <v>1988</v>
      </c>
      <c r="M7" s="19">
        <v>2022</v>
      </c>
      <c r="N7" s="19">
        <f t="shared" si="6"/>
        <v>34</v>
      </c>
      <c r="O7" s="19">
        <v>60</v>
      </c>
      <c r="P7" s="51">
        <v>0.1</v>
      </c>
      <c r="Q7" s="52">
        <f t="shared" si="7"/>
        <v>1.5000000000000001E-2</v>
      </c>
      <c r="R7" s="39">
        <v>1200</v>
      </c>
      <c r="S7" s="39">
        <f t="shared" si="8"/>
        <v>4365878.4000000004</v>
      </c>
      <c r="T7" s="39">
        <f t="shared" si="1"/>
        <v>2226597.9840000006</v>
      </c>
      <c r="U7" s="39">
        <f t="shared" si="2"/>
        <v>2139280.4159999997</v>
      </c>
      <c r="V7" s="53">
        <v>0</v>
      </c>
      <c r="W7" s="39">
        <f t="shared" si="3"/>
        <v>2139280.4159999997</v>
      </c>
    </row>
    <row r="8" spans="2:23" x14ac:dyDescent="0.25">
      <c r="B8" s="49">
        <v>4</v>
      </c>
      <c r="C8" s="30" t="s">
        <v>67</v>
      </c>
      <c r="D8" s="19" t="s">
        <v>38</v>
      </c>
      <c r="E8" s="122"/>
      <c r="F8" s="19">
        <v>4</v>
      </c>
      <c r="G8" s="30">
        <v>165</v>
      </c>
      <c r="H8" s="54">
        <f t="shared" si="0"/>
        <v>660</v>
      </c>
      <c r="I8" s="50">
        <f t="shared" si="4"/>
        <v>7104.24</v>
      </c>
      <c r="J8" s="30">
        <v>6</v>
      </c>
      <c r="K8" s="50">
        <f t="shared" si="5"/>
        <v>19.68</v>
      </c>
      <c r="L8" s="30">
        <v>1989</v>
      </c>
      <c r="M8" s="19">
        <v>2022</v>
      </c>
      <c r="N8" s="19">
        <f t="shared" si="6"/>
        <v>33</v>
      </c>
      <c r="O8" s="19">
        <v>60</v>
      </c>
      <c r="P8" s="51">
        <v>0.1</v>
      </c>
      <c r="Q8" s="52">
        <f t="shared" si="7"/>
        <v>1.5000000000000001E-2</v>
      </c>
      <c r="R8" s="39">
        <v>1200</v>
      </c>
      <c r="S8" s="39">
        <f t="shared" si="8"/>
        <v>8525088</v>
      </c>
      <c r="T8" s="39">
        <f t="shared" si="1"/>
        <v>4219918.5600000005</v>
      </c>
      <c r="U8" s="39">
        <f t="shared" si="2"/>
        <v>4305169.4399999995</v>
      </c>
      <c r="V8" s="53">
        <v>0</v>
      </c>
      <c r="W8" s="39">
        <f t="shared" si="3"/>
        <v>4305169.4399999995</v>
      </c>
    </row>
    <row r="9" spans="2:23" x14ac:dyDescent="0.25">
      <c r="B9" s="49">
        <v>5</v>
      </c>
      <c r="C9" s="30" t="s">
        <v>68</v>
      </c>
      <c r="D9" s="19" t="s">
        <v>39</v>
      </c>
      <c r="E9" s="122"/>
      <c r="F9" s="19">
        <v>12</v>
      </c>
      <c r="G9" s="30">
        <v>140</v>
      </c>
      <c r="H9" s="54">
        <f t="shared" si="0"/>
        <v>1680</v>
      </c>
      <c r="I9" s="50">
        <f t="shared" si="4"/>
        <v>18083.52</v>
      </c>
      <c r="J9" s="30">
        <v>6</v>
      </c>
      <c r="K9" s="50">
        <f t="shared" si="5"/>
        <v>19.68</v>
      </c>
      <c r="L9" s="30">
        <v>1977</v>
      </c>
      <c r="M9" s="19">
        <v>2022</v>
      </c>
      <c r="N9" s="19">
        <f t="shared" si="6"/>
        <v>45</v>
      </c>
      <c r="O9" s="19">
        <v>60</v>
      </c>
      <c r="P9" s="51">
        <v>0.1</v>
      </c>
      <c r="Q9" s="52">
        <f t="shared" si="7"/>
        <v>1.5000000000000001E-2</v>
      </c>
      <c r="R9" s="39">
        <v>1200</v>
      </c>
      <c r="S9" s="39">
        <f t="shared" si="8"/>
        <v>21700224</v>
      </c>
      <c r="T9" s="39">
        <f t="shared" si="1"/>
        <v>14647651.200000001</v>
      </c>
      <c r="U9" s="39">
        <f t="shared" si="2"/>
        <v>7052572.7999999989</v>
      </c>
      <c r="V9" s="53">
        <v>0</v>
      </c>
      <c r="W9" s="39">
        <f t="shared" si="3"/>
        <v>7052572.7999999989</v>
      </c>
    </row>
    <row r="10" spans="2:23" x14ac:dyDescent="0.25">
      <c r="B10" s="49">
        <v>6</v>
      </c>
      <c r="C10" s="30" t="s">
        <v>68</v>
      </c>
      <c r="D10" s="19" t="s">
        <v>39</v>
      </c>
      <c r="E10" s="122"/>
      <c r="F10" s="19">
        <v>6</v>
      </c>
      <c r="G10" s="30">
        <v>140</v>
      </c>
      <c r="H10" s="54">
        <f t="shared" si="0"/>
        <v>840</v>
      </c>
      <c r="I10" s="50">
        <f t="shared" si="4"/>
        <v>9041.76</v>
      </c>
      <c r="J10" s="30">
        <v>6</v>
      </c>
      <c r="K10" s="50">
        <f t="shared" si="5"/>
        <v>19.68</v>
      </c>
      <c r="L10" s="30">
        <v>1983</v>
      </c>
      <c r="M10" s="19">
        <v>2022</v>
      </c>
      <c r="N10" s="19">
        <f t="shared" si="6"/>
        <v>39</v>
      </c>
      <c r="O10" s="19">
        <v>60</v>
      </c>
      <c r="P10" s="51">
        <v>0.1</v>
      </c>
      <c r="Q10" s="52">
        <f t="shared" si="7"/>
        <v>1.5000000000000001E-2</v>
      </c>
      <c r="R10" s="39">
        <v>1200</v>
      </c>
      <c r="S10" s="39">
        <f t="shared" si="8"/>
        <v>10850112</v>
      </c>
      <c r="T10" s="39">
        <f t="shared" si="1"/>
        <v>6347315.5200000005</v>
      </c>
      <c r="U10" s="39">
        <f t="shared" si="2"/>
        <v>4502796.4799999995</v>
      </c>
      <c r="V10" s="53">
        <v>0</v>
      </c>
      <c r="W10" s="39">
        <f t="shared" si="3"/>
        <v>4502796.4799999995</v>
      </c>
    </row>
    <row r="11" spans="2:23" x14ac:dyDescent="0.25">
      <c r="B11" s="49">
        <v>7</v>
      </c>
      <c r="C11" s="30" t="s">
        <v>68</v>
      </c>
      <c r="D11" s="19" t="s">
        <v>39</v>
      </c>
      <c r="E11" s="122"/>
      <c r="F11" s="19">
        <v>6</v>
      </c>
      <c r="G11" s="30">
        <v>140</v>
      </c>
      <c r="H11" s="54">
        <f t="shared" si="0"/>
        <v>840</v>
      </c>
      <c r="I11" s="50">
        <f t="shared" si="4"/>
        <v>9041.76</v>
      </c>
      <c r="J11" s="30">
        <v>6</v>
      </c>
      <c r="K11" s="50">
        <f t="shared" si="5"/>
        <v>19.68</v>
      </c>
      <c r="L11" s="30">
        <v>1984</v>
      </c>
      <c r="M11" s="19">
        <v>2022</v>
      </c>
      <c r="N11" s="19">
        <f t="shared" si="6"/>
        <v>38</v>
      </c>
      <c r="O11" s="19">
        <v>60</v>
      </c>
      <c r="P11" s="51">
        <v>0.1</v>
      </c>
      <c r="Q11" s="52">
        <f t="shared" si="7"/>
        <v>1.5000000000000001E-2</v>
      </c>
      <c r="R11" s="39">
        <v>1200</v>
      </c>
      <c r="S11" s="39">
        <f t="shared" si="8"/>
        <v>10850112</v>
      </c>
      <c r="T11" s="39">
        <f t="shared" si="1"/>
        <v>6184563.8400000008</v>
      </c>
      <c r="U11" s="39">
        <f t="shared" si="2"/>
        <v>4665548.1599999992</v>
      </c>
      <c r="V11" s="53">
        <v>0</v>
      </c>
      <c r="W11" s="39">
        <f t="shared" si="3"/>
        <v>4665548.1599999992</v>
      </c>
    </row>
    <row r="12" spans="2:23" x14ac:dyDescent="0.25">
      <c r="B12" s="49">
        <v>8</v>
      </c>
      <c r="C12" s="30" t="s">
        <v>67</v>
      </c>
      <c r="D12" s="19" t="s">
        <v>40</v>
      </c>
      <c r="E12" s="122"/>
      <c r="F12" s="19">
        <v>12</v>
      </c>
      <c r="G12" s="30">
        <v>116</v>
      </c>
      <c r="H12" s="54">
        <f t="shared" si="0"/>
        <v>1392</v>
      </c>
      <c r="I12" s="50">
        <f t="shared" si="4"/>
        <v>14983.487999999999</v>
      </c>
      <c r="J12" s="30">
        <v>6</v>
      </c>
      <c r="K12" s="50">
        <f t="shared" si="5"/>
        <v>19.68</v>
      </c>
      <c r="L12" s="30">
        <v>1989</v>
      </c>
      <c r="M12" s="19">
        <v>2022</v>
      </c>
      <c r="N12" s="19">
        <f t="shared" si="6"/>
        <v>33</v>
      </c>
      <c r="O12" s="19">
        <v>60</v>
      </c>
      <c r="P12" s="51">
        <v>0.1</v>
      </c>
      <c r="Q12" s="52">
        <f t="shared" si="7"/>
        <v>1.5000000000000001E-2</v>
      </c>
      <c r="R12" s="39">
        <v>1200</v>
      </c>
      <c r="S12" s="39">
        <f t="shared" si="8"/>
        <v>17980185.599999998</v>
      </c>
      <c r="T12" s="39">
        <f t="shared" si="1"/>
        <v>8900191.8719999995</v>
      </c>
      <c r="U12" s="39">
        <f t="shared" si="2"/>
        <v>9079993.7279999983</v>
      </c>
      <c r="V12" s="53">
        <v>0</v>
      </c>
      <c r="W12" s="39">
        <f t="shared" si="3"/>
        <v>9079993.7279999983</v>
      </c>
    </row>
    <row r="13" spans="2:23" x14ac:dyDescent="0.25">
      <c r="B13" s="49">
        <v>9</v>
      </c>
      <c r="C13" s="30" t="s">
        <v>67</v>
      </c>
      <c r="D13" s="19" t="s">
        <v>41</v>
      </c>
      <c r="E13" s="122"/>
      <c r="F13" s="19">
        <v>12</v>
      </c>
      <c r="G13" s="30">
        <v>65</v>
      </c>
      <c r="H13" s="54">
        <f t="shared" si="0"/>
        <v>780</v>
      </c>
      <c r="I13" s="50">
        <f t="shared" si="4"/>
        <v>8395.92</v>
      </c>
      <c r="J13" s="30">
        <v>6</v>
      </c>
      <c r="K13" s="50">
        <f t="shared" si="5"/>
        <v>19.68</v>
      </c>
      <c r="L13" s="30">
        <v>1977</v>
      </c>
      <c r="M13" s="19">
        <v>2022</v>
      </c>
      <c r="N13" s="19">
        <f t="shared" si="6"/>
        <v>45</v>
      </c>
      <c r="O13" s="19">
        <v>60</v>
      </c>
      <c r="P13" s="51">
        <v>0.1</v>
      </c>
      <c r="Q13" s="52">
        <f t="shared" si="7"/>
        <v>1.5000000000000001E-2</v>
      </c>
      <c r="R13" s="39">
        <v>1200</v>
      </c>
      <c r="S13" s="39">
        <f t="shared" si="8"/>
        <v>10075104</v>
      </c>
      <c r="T13" s="39">
        <f t="shared" si="1"/>
        <v>6800695.2000000002</v>
      </c>
      <c r="U13" s="39">
        <f t="shared" si="2"/>
        <v>3274408.8</v>
      </c>
      <c r="V13" s="53">
        <v>0</v>
      </c>
      <c r="W13" s="39">
        <f t="shared" si="3"/>
        <v>3274408.8</v>
      </c>
    </row>
    <row r="14" spans="2:23" x14ac:dyDescent="0.25">
      <c r="B14" s="49">
        <v>10</v>
      </c>
      <c r="C14" s="30" t="s">
        <v>67</v>
      </c>
      <c r="D14" s="19" t="s">
        <v>41</v>
      </c>
      <c r="E14" s="122"/>
      <c r="F14" s="19">
        <v>8</v>
      </c>
      <c r="G14" s="30">
        <v>65</v>
      </c>
      <c r="H14" s="54">
        <f t="shared" si="0"/>
        <v>520</v>
      </c>
      <c r="I14" s="50">
        <f t="shared" si="4"/>
        <v>5597.28</v>
      </c>
      <c r="J14" s="30">
        <v>6</v>
      </c>
      <c r="K14" s="50">
        <f t="shared" si="5"/>
        <v>19.68</v>
      </c>
      <c r="L14" s="30">
        <v>1983</v>
      </c>
      <c r="M14" s="19">
        <v>2022</v>
      </c>
      <c r="N14" s="19">
        <f t="shared" si="6"/>
        <v>39</v>
      </c>
      <c r="O14" s="19">
        <v>60</v>
      </c>
      <c r="P14" s="51">
        <v>0.1</v>
      </c>
      <c r="Q14" s="52">
        <f t="shared" si="7"/>
        <v>1.5000000000000001E-2</v>
      </c>
      <c r="R14" s="39">
        <v>1200</v>
      </c>
      <c r="S14" s="39">
        <f t="shared" si="8"/>
        <v>6716736</v>
      </c>
      <c r="T14" s="39">
        <f t="shared" si="1"/>
        <v>3929290.5600000005</v>
      </c>
      <c r="U14" s="39">
        <f t="shared" si="2"/>
        <v>2787445.4399999995</v>
      </c>
      <c r="V14" s="53">
        <v>0</v>
      </c>
      <c r="W14" s="39">
        <f t="shared" si="3"/>
        <v>2787445.4399999995</v>
      </c>
    </row>
    <row r="15" spans="2:23" x14ac:dyDescent="0.25">
      <c r="B15" s="49">
        <v>11</v>
      </c>
      <c r="C15" s="30" t="s">
        <v>67</v>
      </c>
      <c r="D15" s="19" t="s">
        <v>41</v>
      </c>
      <c r="E15" s="122"/>
      <c r="F15" s="19">
        <v>8</v>
      </c>
      <c r="G15" s="30">
        <v>65</v>
      </c>
      <c r="H15" s="54">
        <f t="shared" si="0"/>
        <v>520</v>
      </c>
      <c r="I15" s="50">
        <f t="shared" si="4"/>
        <v>5597.28</v>
      </c>
      <c r="J15" s="30">
        <v>6</v>
      </c>
      <c r="K15" s="50">
        <f t="shared" si="5"/>
        <v>19.68</v>
      </c>
      <c r="L15" s="30">
        <v>1984</v>
      </c>
      <c r="M15" s="19">
        <v>2022</v>
      </c>
      <c r="N15" s="19">
        <f t="shared" si="6"/>
        <v>38</v>
      </c>
      <c r="O15" s="19">
        <v>60</v>
      </c>
      <c r="P15" s="51">
        <v>0.1</v>
      </c>
      <c r="Q15" s="52">
        <f t="shared" si="7"/>
        <v>1.5000000000000001E-2</v>
      </c>
      <c r="R15" s="39">
        <v>1200</v>
      </c>
      <c r="S15" s="39">
        <f t="shared" si="8"/>
        <v>6716736</v>
      </c>
      <c r="T15" s="39">
        <f t="shared" si="1"/>
        <v>3828539.5200000005</v>
      </c>
      <c r="U15" s="39">
        <f t="shared" si="2"/>
        <v>2888196.4799999995</v>
      </c>
      <c r="V15" s="53">
        <v>0</v>
      </c>
      <c r="W15" s="39">
        <f t="shared" si="3"/>
        <v>2888196.4799999995</v>
      </c>
    </row>
    <row r="16" spans="2:23" x14ac:dyDescent="0.25">
      <c r="B16" s="49">
        <v>12</v>
      </c>
      <c r="C16" s="30" t="s">
        <v>67</v>
      </c>
      <c r="D16" s="19" t="s">
        <v>41</v>
      </c>
      <c r="E16" s="122"/>
      <c r="F16" s="19">
        <v>4</v>
      </c>
      <c r="G16" s="30">
        <v>65</v>
      </c>
      <c r="H16" s="54">
        <f t="shared" si="0"/>
        <v>260</v>
      </c>
      <c r="I16" s="50">
        <f t="shared" si="4"/>
        <v>2798.64</v>
      </c>
      <c r="J16" s="30">
        <v>6</v>
      </c>
      <c r="K16" s="50">
        <f t="shared" si="5"/>
        <v>19.68</v>
      </c>
      <c r="L16" s="30">
        <v>1988</v>
      </c>
      <c r="M16" s="19">
        <v>2022</v>
      </c>
      <c r="N16" s="19">
        <f t="shared" si="6"/>
        <v>34</v>
      </c>
      <c r="O16" s="19">
        <v>60</v>
      </c>
      <c r="P16" s="51">
        <v>0.1</v>
      </c>
      <c r="Q16" s="52">
        <f t="shared" si="7"/>
        <v>1.5000000000000001E-2</v>
      </c>
      <c r="R16" s="39">
        <v>1200</v>
      </c>
      <c r="S16" s="39">
        <f t="shared" si="8"/>
        <v>3358368</v>
      </c>
      <c r="T16" s="39">
        <f t="shared" si="1"/>
        <v>1712767.6800000002</v>
      </c>
      <c r="U16" s="39">
        <f t="shared" si="2"/>
        <v>1645600.3199999998</v>
      </c>
      <c r="V16" s="53">
        <v>0</v>
      </c>
      <c r="W16" s="39">
        <f t="shared" si="3"/>
        <v>1645600.3199999998</v>
      </c>
    </row>
    <row r="17" spans="2:23" x14ac:dyDescent="0.25">
      <c r="B17" s="49">
        <v>13</v>
      </c>
      <c r="C17" s="30" t="s">
        <v>67</v>
      </c>
      <c r="D17" s="19" t="s">
        <v>41</v>
      </c>
      <c r="E17" s="122"/>
      <c r="F17" s="19">
        <v>8</v>
      </c>
      <c r="G17" s="30">
        <v>65</v>
      </c>
      <c r="H17" s="54">
        <f t="shared" si="0"/>
        <v>520</v>
      </c>
      <c r="I17" s="50">
        <f t="shared" si="4"/>
        <v>5597.28</v>
      </c>
      <c r="J17" s="30">
        <v>6</v>
      </c>
      <c r="K17" s="50">
        <f t="shared" si="5"/>
        <v>19.68</v>
      </c>
      <c r="L17" s="30">
        <v>1989</v>
      </c>
      <c r="M17" s="19">
        <v>2022</v>
      </c>
      <c r="N17" s="19">
        <f t="shared" si="6"/>
        <v>33</v>
      </c>
      <c r="O17" s="19">
        <v>60</v>
      </c>
      <c r="P17" s="51">
        <v>0.1</v>
      </c>
      <c r="Q17" s="52">
        <f t="shared" si="7"/>
        <v>1.5000000000000001E-2</v>
      </c>
      <c r="R17" s="39">
        <v>1200</v>
      </c>
      <c r="S17" s="39">
        <f t="shared" si="8"/>
        <v>6716736</v>
      </c>
      <c r="T17" s="39">
        <f t="shared" si="1"/>
        <v>3324784.3200000003</v>
      </c>
      <c r="U17" s="39">
        <f t="shared" si="2"/>
        <v>3391951.6799999997</v>
      </c>
      <c r="V17" s="53">
        <v>0</v>
      </c>
      <c r="W17" s="39">
        <f t="shared" si="3"/>
        <v>3391951.6799999997</v>
      </c>
    </row>
    <row r="18" spans="2:23" x14ac:dyDescent="0.25">
      <c r="B18" s="49">
        <v>14</v>
      </c>
      <c r="C18" s="30" t="s">
        <v>67</v>
      </c>
      <c r="D18" s="19" t="s">
        <v>42</v>
      </c>
      <c r="E18" s="122"/>
      <c r="F18" s="19">
        <v>16</v>
      </c>
      <c r="G18" s="30">
        <v>47.5</v>
      </c>
      <c r="H18" s="54">
        <f t="shared" si="0"/>
        <v>760</v>
      </c>
      <c r="I18" s="50">
        <f t="shared" si="4"/>
        <v>8180.6399999999994</v>
      </c>
      <c r="J18" s="30">
        <v>6</v>
      </c>
      <c r="K18" s="50">
        <f t="shared" si="5"/>
        <v>19.68</v>
      </c>
      <c r="L18" s="30">
        <v>1983</v>
      </c>
      <c r="M18" s="19">
        <v>2022</v>
      </c>
      <c r="N18" s="19">
        <f t="shared" si="6"/>
        <v>39</v>
      </c>
      <c r="O18" s="19">
        <v>60</v>
      </c>
      <c r="P18" s="51">
        <v>0.1</v>
      </c>
      <c r="Q18" s="52">
        <f t="shared" si="7"/>
        <v>1.5000000000000001E-2</v>
      </c>
      <c r="R18" s="39">
        <v>1200</v>
      </c>
      <c r="S18" s="39">
        <f t="shared" si="8"/>
        <v>9816768</v>
      </c>
      <c r="T18" s="39">
        <f t="shared" si="1"/>
        <v>5742809.2800000012</v>
      </c>
      <c r="U18" s="39">
        <f t="shared" si="2"/>
        <v>4073958.7199999988</v>
      </c>
      <c r="V18" s="53">
        <v>0</v>
      </c>
      <c r="W18" s="39">
        <f t="shared" si="3"/>
        <v>4073958.7199999988</v>
      </c>
    </row>
    <row r="19" spans="2:23" x14ac:dyDescent="0.25">
      <c r="B19" s="49">
        <v>15</v>
      </c>
      <c r="C19" s="30" t="s">
        <v>67</v>
      </c>
      <c r="D19" s="19" t="s">
        <v>42</v>
      </c>
      <c r="E19" s="122"/>
      <c r="F19" s="19">
        <v>16</v>
      </c>
      <c r="G19" s="30">
        <v>47.5</v>
      </c>
      <c r="H19" s="54">
        <f t="shared" si="0"/>
        <v>760</v>
      </c>
      <c r="I19" s="50">
        <f t="shared" si="4"/>
        <v>8180.6399999999994</v>
      </c>
      <c r="J19" s="30">
        <v>6</v>
      </c>
      <c r="K19" s="50">
        <f t="shared" si="5"/>
        <v>19.68</v>
      </c>
      <c r="L19" s="30">
        <v>1984</v>
      </c>
      <c r="M19" s="19">
        <v>2022</v>
      </c>
      <c r="N19" s="19">
        <f t="shared" si="6"/>
        <v>38</v>
      </c>
      <c r="O19" s="19">
        <v>60</v>
      </c>
      <c r="P19" s="51">
        <v>0.1</v>
      </c>
      <c r="Q19" s="52">
        <f t="shared" si="7"/>
        <v>1.5000000000000001E-2</v>
      </c>
      <c r="R19" s="39">
        <v>1200</v>
      </c>
      <c r="S19" s="39">
        <f t="shared" si="8"/>
        <v>9816768</v>
      </c>
      <c r="T19" s="39">
        <f t="shared" si="1"/>
        <v>5595557.7600000007</v>
      </c>
      <c r="U19" s="39">
        <f t="shared" si="2"/>
        <v>4221210.2399999993</v>
      </c>
      <c r="V19" s="53">
        <v>0</v>
      </c>
      <c r="W19" s="39">
        <f t="shared" si="3"/>
        <v>4221210.2399999993</v>
      </c>
    </row>
    <row r="20" spans="2:23" x14ac:dyDescent="0.25">
      <c r="B20" s="49">
        <v>16</v>
      </c>
      <c r="C20" s="30" t="s">
        <v>67</v>
      </c>
      <c r="D20" s="19" t="s">
        <v>42</v>
      </c>
      <c r="E20" s="122"/>
      <c r="F20" s="19">
        <v>8</v>
      </c>
      <c r="G20" s="30">
        <v>47.5</v>
      </c>
      <c r="H20" s="54">
        <f t="shared" si="0"/>
        <v>380</v>
      </c>
      <c r="I20" s="50">
        <f t="shared" si="4"/>
        <v>4090.3199999999997</v>
      </c>
      <c r="J20" s="30">
        <v>6</v>
      </c>
      <c r="K20" s="50">
        <f t="shared" si="5"/>
        <v>19.68</v>
      </c>
      <c r="L20" s="30">
        <v>1998</v>
      </c>
      <c r="M20" s="19">
        <v>2022</v>
      </c>
      <c r="N20" s="19">
        <f t="shared" si="6"/>
        <v>24</v>
      </c>
      <c r="O20" s="19">
        <v>60</v>
      </c>
      <c r="P20" s="51">
        <v>0.1</v>
      </c>
      <c r="Q20" s="52">
        <f t="shared" si="7"/>
        <v>1.5000000000000001E-2</v>
      </c>
      <c r="R20" s="39">
        <v>1200</v>
      </c>
      <c r="S20" s="39">
        <f t="shared" si="8"/>
        <v>4908384</v>
      </c>
      <c r="T20" s="39">
        <f t="shared" si="1"/>
        <v>1767018.2400000002</v>
      </c>
      <c r="U20" s="39">
        <f t="shared" si="2"/>
        <v>3141365.7599999998</v>
      </c>
      <c r="V20" s="53">
        <v>0</v>
      </c>
      <c r="W20" s="39">
        <f t="shared" si="3"/>
        <v>3141365.7599999998</v>
      </c>
    </row>
    <row r="21" spans="2:23" x14ac:dyDescent="0.25">
      <c r="B21" s="49">
        <v>17</v>
      </c>
      <c r="C21" s="30" t="s">
        <v>69</v>
      </c>
      <c r="D21" s="19" t="s">
        <v>43</v>
      </c>
      <c r="E21" s="122"/>
      <c r="F21" s="19">
        <v>24</v>
      </c>
      <c r="G21" s="30">
        <v>49</v>
      </c>
      <c r="H21" s="54">
        <f t="shared" si="0"/>
        <v>1176</v>
      </c>
      <c r="I21" s="50">
        <f t="shared" si="4"/>
        <v>12658.464</v>
      </c>
      <c r="J21" s="30">
        <v>10</v>
      </c>
      <c r="K21" s="50">
        <f t="shared" si="5"/>
        <v>32.799999999999997</v>
      </c>
      <c r="L21" s="30">
        <v>1988</v>
      </c>
      <c r="M21" s="19">
        <v>2022</v>
      </c>
      <c r="N21" s="19">
        <f t="shared" si="6"/>
        <v>34</v>
      </c>
      <c r="O21" s="19">
        <v>60</v>
      </c>
      <c r="P21" s="51">
        <v>0.1</v>
      </c>
      <c r="Q21" s="52">
        <f t="shared" si="7"/>
        <v>1.5000000000000001E-2</v>
      </c>
      <c r="R21" s="39">
        <v>1200</v>
      </c>
      <c r="S21" s="39">
        <f t="shared" si="8"/>
        <v>15190156.800000001</v>
      </c>
      <c r="T21" s="39">
        <f t="shared" si="1"/>
        <v>7746979.9680000013</v>
      </c>
      <c r="U21" s="39">
        <f t="shared" si="2"/>
        <v>7443176.8319999995</v>
      </c>
      <c r="V21" s="53">
        <v>0</v>
      </c>
      <c r="W21" s="39">
        <f t="shared" si="3"/>
        <v>7443176.8319999995</v>
      </c>
    </row>
    <row r="22" spans="2:23" x14ac:dyDescent="0.25">
      <c r="B22" s="49">
        <v>18</v>
      </c>
      <c r="C22" s="30" t="s">
        <v>69</v>
      </c>
      <c r="D22" s="19" t="s">
        <v>43</v>
      </c>
      <c r="E22" s="122"/>
      <c r="F22" s="19">
        <v>12</v>
      </c>
      <c r="G22" s="30">
        <v>49</v>
      </c>
      <c r="H22" s="54">
        <f t="shared" si="0"/>
        <v>588</v>
      </c>
      <c r="I22" s="50">
        <f t="shared" si="4"/>
        <v>6329.232</v>
      </c>
      <c r="J22" s="30">
        <v>10</v>
      </c>
      <c r="K22" s="50">
        <f t="shared" si="5"/>
        <v>32.799999999999997</v>
      </c>
      <c r="L22" s="30">
        <v>1989</v>
      </c>
      <c r="M22" s="19">
        <v>2022</v>
      </c>
      <c r="N22" s="19">
        <f t="shared" si="6"/>
        <v>33</v>
      </c>
      <c r="O22" s="19">
        <v>60</v>
      </c>
      <c r="P22" s="51">
        <v>0.1</v>
      </c>
      <c r="Q22" s="52">
        <f t="shared" si="7"/>
        <v>1.5000000000000001E-2</v>
      </c>
      <c r="R22" s="39">
        <v>1200</v>
      </c>
      <c r="S22" s="39">
        <f t="shared" si="8"/>
        <v>7595078.4000000004</v>
      </c>
      <c r="T22" s="39">
        <f t="shared" si="1"/>
        <v>3759563.8080000007</v>
      </c>
      <c r="U22" s="39">
        <f t="shared" si="2"/>
        <v>3835514.5919999997</v>
      </c>
      <c r="V22" s="53">
        <v>0</v>
      </c>
      <c r="W22" s="39">
        <f t="shared" si="3"/>
        <v>3835514.5919999997</v>
      </c>
    </row>
    <row r="23" spans="2:23" x14ac:dyDescent="0.25">
      <c r="B23" s="49">
        <v>19</v>
      </c>
      <c r="C23" s="30" t="s">
        <v>69</v>
      </c>
      <c r="D23" s="19" t="s">
        <v>43</v>
      </c>
      <c r="E23" s="122"/>
      <c r="F23" s="19">
        <v>12</v>
      </c>
      <c r="G23" s="30">
        <v>49</v>
      </c>
      <c r="H23" s="54">
        <f t="shared" si="0"/>
        <v>588</v>
      </c>
      <c r="I23" s="50">
        <f t="shared" si="4"/>
        <v>6329.232</v>
      </c>
      <c r="J23" s="30">
        <v>10</v>
      </c>
      <c r="K23" s="50">
        <f t="shared" si="5"/>
        <v>32.799999999999997</v>
      </c>
      <c r="L23" s="30">
        <v>1990</v>
      </c>
      <c r="M23" s="19">
        <v>2022</v>
      </c>
      <c r="N23" s="19">
        <f t="shared" si="6"/>
        <v>32</v>
      </c>
      <c r="O23" s="19">
        <v>60</v>
      </c>
      <c r="P23" s="51">
        <v>0.1</v>
      </c>
      <c r="Q23" s="52">
        <f t="shared" si="7"/>
        <v>1.5000000000000001E-2</v>
      </c>
      <c r="R23" s="39">
        <v>1200</v>
      </c>
      <c r="S23" s="39">
        <f t="shared" si="8"/>
        <v>7595078.4000000004</v>
      </c>
      <c r="T23" s="39">
        <f t="shared" si="1"/>
        <v>3645637.6320000007</v>
      </c>
      <c r="U23" s="39">
        <f t="shared" si="2"/>
        <v>3949440.7679999997</v>
      </c>
      <c r="V23" s="53">
        <v>0</v>
      </c>
      <c r="W23" s="39">
        <f t="shared" si="3"/>
        <v>3949440.7679999997</v>
      </c>
    </row>
    <row r="24" spans="2:23" x14ac:dyDescent="0.25">
      <c r="B24" s="49">
        <v>20</v>
      </c>
      <c r="C24" s="30" t="s">
        <v>69</v>
      </c>
      <c r="D24" s="19" t="s">
        <v>43</v>
      </c>
      <c r="E24" s="122"/>
      <c r="F24" s="19">
        <v>6</v>
      </c>
      <c r="G24" s="30">
        <v>49</v>
      </c>
      <c r="H24" s="54">
        <f t="shared" si="0"/>
        <v>294</v>
      </c>
      <c r="I24" s="50">
        <f t="shared" si="4"/>
        <v>3164.616</v>
      </c>
      <c r="J24" s="30">
        <v>10</v>
      </c>
      <c r="K24" s="50">
        <f t="shared" si="5"/>
        <v>32.799999999999997</v>
      </c>
      <c r="L24" s="30">
        <v>1990</v>
      </c>
      <c r="M24" s="19">
        <v>2022</v>
      </c>
      <c r="N24" s="19">
        <f t="shared" si="6"/>
        <v>32</v>
      </c>
      <c r="O24" s="19">
        <v>60</v>
      </c>
      <c r="P24" s="51">
        <v>0.1</v>
      </c>
      <c r="Q24" s="52">
        <f t="shared" si="7"/>
        <v>1.5000000000000001E-2</v>
      </c>
      <c r="R24" s="39">
        <v>1200</v>
      </c>
      <c r="S24" s="39">
        <f t="shared" si="8"/>
        <v>3797539.2</v>
      </c>
      <c r="T24" s="39">
        <f t="shared" si="1"/>
        <v>1822818.8160000003</v>
      </c>
      <c r="U24" s="39">
        <f t="shared" si="2"/>
        <v>1974720.3839999998</v>
      </c>
      <c r="V24" s="53">
        <v>0</v>
      </c>
      <c r="W24" s="39">
        <f t="shared" si="3"/>
        <v>1974720.3839999998</v>
      </c>
    </row>
    <row r="25" spans="2:23" x14ac:dyDescent="0.25">
      <c r="B25" s="49">
        <v>21</v>
      </c>
      <c r="C25" s="30" t="s">
        <v>69</v>
      </c>
      <c r="D25" s="19" t="s">
        <v>44</v>
      </c>
      <c r="E25" s="122"/>
      <c r="F25" s="19">
        <v>48</v>
      </c>
      <c r="G25" s="30">
        <v>46.25</v>
      </c>
      <c r="H25" s="54">
        <f t="shared" si="0"/>
        <v>2220</v>
      </c>
      <c r="I25" s="50">
        <f t="shared" si="4"/>
        <v>23896.079999999998</v>
      </c>
      <c r="J25" s="30">
        <v>10</v>
      </c>
      <c r="K25" s="50">
        <f t="shared" si="5"/>
        <v>32.799999999999997</v>
      </c>
      <c r="L25" s="30">
        <v>1988</v>
      </c>
      <c r="M25" s="19">
        <v>2022</v>
      </c>
      <c r="N25" s="19">
        <f t="shared" si="6"/>
        <v>34</v>
      </c>
      <c r="O25" s="19">
        <v>60</v>
      </c>
      <c r="P25" s="51">
        <v>0.1</v>
      </c>
      <c r="Q25" s="52">
        <f t="shared" si="7"/>
        <v>1.5000000000000001E-2</v>
      </c>
      <c r="R25" s="39">
        <v>1200</v>
      </c>
      <c r="S25" s="39">
        <f t="shared" si="8"/>
        <v>28675295.999999996</v>
      </c>
      <c r="T25" s="39">
        <f t="shared" si="1"/>
        <v>14624400.960000001</v>
      </c>
      <c r="U25" s="39">
        <f t="shared" si="2"/>
        <v>14050895.039999995</v>
      </c>
      <c r="V25" s="53">
        <v>0</v>
      </c>
      <c r="W25" s="39">
        <f t="shared" si="3"/>
        <v>14050895.039999995</v>
      </c>
    </row>
    <row r="26" spans="2:23" x14ac:dyDescent="0.25">
      <c r="B26" s="49">
        <v>22</v>
      </c>
      <c r="C26" s="30" t="s">
        <v>69</v>
      </c>
      <c r="D26" s="19" t="s">
        <v>44</v>
      </c>
      <c r="E26" s="122"/>
      <c r="F26" s="19">
        <v>36</v>
      </c>
      <c r="G26" s="30">
        <v>46.25</v>
      </c>
      <c r="H26" s="54">
        <f t="shared" si="0"/>
        <v>1665</v>
      </c>
      <c r="I26" s="50">
        <f t="shared" si="4"/>
        <v>17922.059999999998</v>
      </c>
      <c r="J26" s="30">
        <v>10</v>
      </c>
      <c r="K26" s="50">
        <f t="shared" si="5"/>
        <v>32.799999999999997</v>
      </c>
      <c r="L26" s="30">
        <v>1989</v>
      </c>
      <c r="M26" s="19">
        <v>2022</v>
      </c>
      <c r="N26" s="19">
        <f t="shared" si="6"/>
        <v>33</v>
      </c>
      <c r="O26" s="19">
        <v>60</v>
      </c>
      <c r="P26" s="51">
        <v>0.1</v>
      </c>
      <c r="Q26" s="52">
        <f t="shared" si="7"/>
        <v>1.5000000000000001E-2</v>
      </c>
      <c r="R26" s="39">
        <v>1200</v>
      </c>
      <c r="S26" s="39">
        <f t="shared" si="8"/>
        <v>21506471.999999996</v>
      </c>
      <c r="T26" s="39">
        <f t="shared" si="1"/>
        <v>10645703.639999999</v>
      </c>
      <c r="U26" s="39">
        <f t="shared" si="2"/>
        <v>10860768.359999998</v>
      </c>
      <c r="V26" s="53">
        <v>0</v>
      </c>
      <c r="W26" s="39">
        <f t="shared" si="3"/>
        <v>10860768.359999998</v>
      </c>
    </row>
    <row r="27" spans="2:23" x14ac:dyDescent="0.25">
      <c r="B27" s="49">
        <v>23</v>
      </c>
      <c r="C27" s="30" t="s">
        <v>69</v>
      </c>
      <c r="D27" s="19" t="s">
        <v>44</v>
      </c>
      <c r="E27" s="122"/>
      <c r="F27" s="19">
        <v>24</v>
      </c>
      <c r="G27" s="30">
        <v>46.25</v>
      </c>
      <c r="H27" s="54">
        <f t="shared" si="0"/>
        <v>1110</v>
      </c>
      <c r="I27" s="50">
        <f t="shared" si="4"/>
        <v>11948.039999999999</v>
      </c>
      <c r="J27" s="30">
        <v>10</v>
      </c>
      <c r="K27" s="50">
        <f t="shared" si="5"/>
        <v>32.799999999999997</v>
      </c>
      <c r="L27" s="30">
        <v>1996</v>
      </c>
      <c r="M27" s="19">
        <v>2022</v>
      </c>
      <c r="N27" s="19">
        <f t="shared" si="6"/>
        <v>26</v>
      </c>
      <c r="O27" s="19">
        <v>60</v>
      </c>
      <c r="P27" s="51">
        <v>0.1</v>
      </c>
      <c r="Q27" s="52">
        <f t="shared" si="7"/>
        <v>1.5000000000000001E-2</v>
      </c>
      <c r="R27" s="39">
        <v>1200</v>
      </c>
      <c r="S27" s="39">
        <f t="shared" si="8"/>
        <v>14337647.999999998</v>
      </c>
      <c r="T27" s="39">
        <f t="shared" si="1"/>
        <v>5591682.7199999997</v>
      </c>
      <c r="U27" s="39">
        <f t="shared" si="2"/>
        <v>8745965.2799999975</v>
      </c>
      <c r="V27" s="53">
        <v>0</v>
      </c>
      <c r="W27" s="39">
        <f t="shared" si="3"/>
        <v>8745965.2799999975</v>
      </c>
    </row>
    <row r="28" spans="2:23" x14ac:dyDescent="0.25">
      <c r="B28" s="49">
        <v>24</v>
      </c>
      <c r="C28" s="30" t="s">
        <v>69</v>
      </c>
      <c r="D28" s="19" t="s">
        <v>44</v>
      </c>
      <c r="E28" s="122"/>
      <c r="F28" s="19">
        <v>24</v>
      </c>
      <c r="G28" s="30">
        <v>46.25</v>
      </c>
      <c r="H28" s="54">
        <f t="shared" si="0"/>
        <v>1110</v>
      </c>
      <c r="I28" s="50">
        <f t="shared" si="4"/>
        <v>11948.039999999999</v>
      </c>
      <c r="J28" s="30">
        <v>10</v>
      </c>
      <c r="K28" s="50">
        <f t="shared" si="5"/>
        <v>32.799999999999997</v>
      </c>
      <c r="L28" s="30">
        <v>1998</v>
      </c>
      <c r="M28" s="19">
        <v>2022</v>
      </c>
      <c r="N28" s="19">
        <f t="shared" si="6"/>
        <v>24</v>
      </c>
      <c r="O28" s="19">
        <v>60</v>
      </c>
      <c r="P28" s="51">
        <v>0.1</v>
      </c>
      <c r="Q28" s="52">
        <f t="shared" si="7"/>
        <v>1.5000000000000001E-2</v>
      </c>
      <c r="R28" s="39">
        <v>1200</v>
      </c>
      <c r="S28" s="39">
        <f t="shared" si="8"/>
        <v>14337647.999999998</v>
      </c>
      <c r="T28" s="39">
        <f t="shared" si="1"/>
        <v>5161553.28</v>
      </c>
      <c r="U28" s="39">
        <f t="shared" si="2"/>
        <v>9176094.7199999988</v>
      </c>
      <c r="V28" s="53">
        <v>0</v>
      </c>
      <c r="W28" s="39">
        <f t="shared" si="3"/>
        <v>9176094.7199999988</v>
      </c>
    </row>
    <row r="29" spans="2:23" x14ac:dyDescent="0.25">
      <c r="B29" s="49">
        <v>25</v>
      </c>
      <c r="C29" s="30" t="s">
        <v>66</v>
      </c>
      <c r="D29" s="19" t="s">
        <v>45</v>
      </c>
      <c r="E29" s="122"/>
      <c r="F29" s="19">
        <v>7</v>
      </c>
      <c r="G29" s="30">
        <v>37.119999999999997</v>
      </c>
      <c r="H29" s="54">
        <f t="shared" si="0"/>
        <v>259.83999999999997</v>
      </c>
      <c r="I29" s="50">
        <f t="shared" si="4"/>
        <v>2796.9177599999994</v>
      </c>
      <c r="J29" s="30">
        <v>3</v>
      </c>
      <c r="K29" s="50">
        <f t="shared" si="5"/>
        <v>9.84</v>
      </c>
      <c r="L29" s="30">
        <v>1977</v>
      </c>
      <c r="M29" s="19">
        <v>2022</v>
      </c>
      <c r="N29" s="19">
        <f t="shared" si="6"/>
        <v>45</v>
      </c>
      <c r="O29" s="19">
        <v>60</v>
      </c>
      <c r="P29" s="51">
        <v>0.1</v>
      </c>
      <c r="Q29" s="52">
        <f t="shared" si="7"/>
        <v>1.5000000000000001E-2</v>
      </c>
      <c r="R29" s="39">
        <v>1000</v>
      </c>
      <c r="S29" s="39">
        <f t="shared" si="8"/>
        <v>2796917.7599999993</v>
      </c>
      <c r="T29" s="39">
        <f t="shared" si="1"/>
        <v>1887919.4879999997</v>
      </c>
      <c r="U29" s="39">
        <f t="shared" si="2"/>
        <v>908998.27199999965</v>
      </c>
      <c r="V29" s="53">
        <v>0</v>
      </c>
      <c r="W29" s="39">
        <f t="shared" si="3"/>
        <v>908998.27199999965</v>
      </c>
    </row>
    <row r="30" spans="2:23" x14ac:dyDescent="0.25">
      <c r="B30" s="49">
        <v>26</v>
      </c>
      <c r="C30" s="30" t="s">
        <v>66</v>
      </c>
      <c r="D30" s="19" t="s">
        <v>45</v>
      </c>
      <c r="E30" s="122"/>
      <c r="F30" s="19">
        <v>26</v>
      </c>
      <c r="G30" s="30">
        <v>37.119999999999997</v>
      </c>
      <c r="H30" s="54">
        <f t="shared" si="0"/>
        <v>965.11999999999989</v>
      </c>
      <c r="I30" s="50">
        <f t="shared" si="4"/>
        <v>10388.551679999999</v>
      </c>
      <c r="J30" s="30">
        <v>3</v>
      </c>
      <c r="K30" s="50">
        <f t="shared" si="5"/>
        <v>9.84</v>
      </c>
      <c r="L30" s="30">
        <v>1983</v>
      </c>
      <c r="M30" s="19">
        <v>2022</v>
      </c>
      <c r="N30" s="19">
        <f t="shared" si="6"/>
        <v>39</v>
      </c>
      <c r="O30" s="19">
        <v>60</v>
      </c>
      <c r="P30" s="51">
        <v>0.1</v>
      </c>
      <c r="Q30" s="52">
        <f t="shared" si="7"/>
        <v>1.5000000000000001E-2</v>
      </c>
      <c r="R30" s="39">
        <v>1000</v>
      </c>
      <c r="S30" s="39">
        <f t="shared" si="8"/>
        <v>10388551.679999998</v>
      </c>
      <c r="T30" s="39">
        <f t="shared" si="1"/>
        <v>6077302.7327999994</v>
      </c>
      <c r="U30" s="39">
        <f t="shared" si="2"/>
        <v>4311248.9471999984</v>
      </c>
      <c r="V30" s="53">
        <v>0</v>
      </c>
      <c r="W30" s="39">
        <f t="shared" si="3"/>
        <v>4311248.9471999984</v>
      </c>
    </row>
    <row r="31" spans="2:23" x14ac:dyDescent="0.25">
      <c r="B31" s="49">
        <v>27</v>
      </c>
      <c r="C31" s="30" t="s">
        <v>66</v>
      </c>
      <c r="D31" s="19" t="s">
        <v>45</v>
      </c>
      <c r="E31" s="122"/>
      <c r="F31" s="19">
        <v>12</v>
      </c>
      <c r="G31" s="30">
        <v>37.119999999999997</v>
      </c>
      <c r="H31" s="54">
        <f t="shared" si="0"/>
        <v>445.43999999999994</v>
      </c>
      <c r="I31" s="50">
        <f t="shared" si="4"/>
        <v>4794.716159999999</v>
      </c>
      <c r="J31" s="30">
        <v>3</v>
      </c>
      <c r="K31" s="50">
        <f t="shared" si="5"/>
        <v>9.84</v>
      </c>
      <c r="L31" s="30">
        <v>1984</v>
      </c>
      <c r="M31" s="19">
        <v>2022</v>
      </c>
      <c r="N31" s="19">
        <f t="shared" si="6"/>
        <v>38</v>
      </c>
      <c r="O31" s="19">
        <v>60</v>
      </c>
      <c r="P31" s="51">
        <v>0.1</v>
      </c>
      <c r="Q31" s="52">
        <f t="shared" si="7"/>
        <v>1.5000000000000001E-2</v>
      </c>
      <c r="R31" s="39">
        <v>1000</v>
      </c>
      <c r="S31" s="39">
        <f t="shared" si="8"/>
        <v>4794716.1599999992</v>
      </c>
      <c r="T31" s="39">
        <f t="shared" si="1"/>
        <v>2732988.2111999998</v>
      </c>
      <c r="U31" s="39">
        <f t="shared" si="2"/>
        <v>2061727.9487999994</v>
      </c>
      <c r="V31" s="53">
        <v>0</v>
      </c>
      <c r="W31" s="39">
        <f t="shared" si="3"/>
        <v>2061727.9487999994</v>
      </c>
    </row>
    <row r="32" spans="2:23" x14ac:dyDescent="0.25">
      <c r="B32" s="49">
        <v>28</v>
      </c>
      <c r="C32" s="30" t="s">
        <v>66</v>
      </c>
      <c r="D32" s="19" t="s">
        <v>46</v>
      </c>
      <c r="E32" s="122"/>
      <c r="F32" s="19">
        <v>74</v>
      </c>
      <c r="G32" s="30">
        <v>21.6</v>
      </c>
      <c r="H32" s="54">
        <f t="shared" si="0"/>
        <v>1598.4</v>
      </c>
      <c r="I32" s="50">
        <f t="shared" si="4"/>
        <v>17205.177599999999</v>
      </c>
      <c r="J32" s="30">
        <v>3</v>
      </c>
      <c r="K32" s="50">
        <f t="shared" si="5"/>
        <v>9.84</v>
      </c>
      <c r="L32" s="30">
        <v>1977</v>
      </c>
      <c r="M32" s="19">
        <v>2022</v>
      </c>
      <c r="N32" s="19">
        <f t="shared" si="6"/>
        <v>45</v>
      </c>
      <c r="O32" s="19">
        <v>60</v>
      </c>
      <c r="P32" s="51">
        <v>0.1</v>
      </c>
      <c r="Q32" s="52">
        <f t="shared" si="7"/>
        <v>1.5000000000000001E-2</v>
      </c>
      <c r="R32" s="39">
        <v>1000</v>
      </c>
      <c r="S32" s="39">
        <f t="shared" si="8"/>
        <v>17205177.599999998</v>
      </c>
      <c r="T32" s="39">
        <f t="shared" si="1"/>
        <v>11613494.879999999</v>
      </c>
      <c r="U32" s="39">
        <f t="shared" si="2"/>
        <v>5591682.7199999988</v>
      </c>
      <c r="V32" s="53">
        <v>0</v>
      </c>
      <c r="W32" s="39">
        <f t="shared" si="3"/>
        <v>5591682.7199999988</v>
      </c>
    </row>
    <row r="33" spans="2:23" s="57" customFormat="1" ht="20.25" customHeight="1" x14ac:dyDescent="0.25">
      <c r="B33" s="49">
        <v>29</v>
      </c>
      <c r="C33" s="30" t="s">
        <v>66</v>
      </c>
      <c r="D33" s="19" t="s">
        <v>47</v>
      </c>
      <c r="E33" s="122"/>
      <c r="F33" s="19">
        <v>1</v>
      </c>
      <c r="G33" s="40">
        <f>((70*31.5+50*30)/10.768)</f>
        <v>344.07503714710248</v>
      </c>
      <c r="H33" s="54">
        <f t="shared" si="0"/>
        <v>344.07503714710248</v>
      </c>
      <c r="I33" s="50">
        <f t="shared" si="4"/>
        <v>3703.6236998514109</v>
      </c>
      <c r="J33" s="30">
        <v>4</v>
      </c>
      <c r="K33" s="50">
        <f t="shared" si="5"/>
        <v>13.12</v>
      </c>
      <c r="L33" s="30">
        <v>1981</v>
      </c>
      <c r="M33" s="19">
        <v>2022</v>
      </c>
      <c r="N33" s="19">
        <f t="shared" si="6"/>
        <v>41</v>
      </c>
      <c r="O33" s="19">
        <v>60</v>
      </c>
      <c r="P33" s="51">
        <v>0.1</v>
      </c>
      <c r="Q33" s="52">
        <f t="shared" si="7"/>
        <v>1.5000000000000001E-2</v>
      </c>
      <c r="R33" s="39">
        <v>1200</v>
      </c>
      <c r="S33" s="39">
        <f t="shared" si="8"/>
        <v>4444348.4398216931</v>
      </c>
      <c r="T33" s="39">
        <f t="shared" si="1"/>
        <v>2733274.2904903414</v>
      </c>
      <c r="U33" s="39">
        <f t="shared" si="2"/>
        <v>1711074.1493313517</v>
      </c>
      <c r="V33" s="53">
        <v>0</v>
      </c>
      <c r="W33" s="39">
        <f t="shared" si="3"/>
        <v>1711074.1493313517</v>
      </c>
    </row>
    <row r="34" spans="2:23" s="45" customFormat="1" ht="18.75" customHeight="1" x14ac:dyDescent="0.25">
      <c r="B34" s="49">
        <v>30</v>
      </c>
      <c r="C34" s="30" t="s">
        <v>66</v>
      </c>
      <c r="D34" s="30" t="s">
        <v>48</v>
      </c>
      <c r="E34" s="122"/>
      <c r="F34" s="19">
        <v>1</v>
      </c>
      <c r="G34" s="30">
        <v>203</v>
      </c>
      <c r="H34" s="54">
        <f t="shared" si="0"/>
        <v>203</v>
      </c>
      <c r="I34" s="50">
        <f t="shared" si="4"/>
        <v>2185.0919999999996</v>
      </c>
      <c r="J34" s="30">
        <v>3.5</v>
      </c>
      <c r="K34" s="50">
        <f t="shared" si="5"/>
        <v>11.479999999999999</v>
      </c>
      <c r="L34" s="30">
        <v>1989</v>
      </c>
      <c r="M34" s="19">
        <v>2022</v>
      </c>
      <c r="N34" s="19">
        <f t="shared" si="6"/>
        <v>33</v>
      </c>
      <c r="O34" s="19">
        <v>60</v>
      </c>
      <c r="P34" s="51">
        <v>0.1</v>
      </c>
      <c r="Q34" s="52">
        <f t="shared" si="7"/>
        <v>1.5000000000000001E-2</v>
      </c>
      <c r="R34" s="39">
        <v>1200</v>
      </c>
      <c r="S34" s="39">
        <f t="shared" si="8"/>
        <v>2622110.3999999994</v>
      </c>
      <c r="T34" s="39">
        <f t="shared" si="1"/>
        <v>1297944.6479999998</v>
      </c>
      <c r="U34" s="39">
        <f t="shared" si="2"/>
        <v>1324165.7519999996</v>
      </c>
      <c r="V34" s="53">
        <v>0</v>
      </c>
      <c r="W34" s="39">
        <f t="shared" si="3"/>
        <v>1324165.7519999996</v>
      </c>
    </row>
    <row r="35" spans="2:23" s="45" customFormat="1" ht="17.25" customHeight="1" x14ac:dyDescent="0.25">
      <c r="B35" s="49">
        <v>31</v>
      </c>
      <c r="C35" s="30" t="s">
        <v>66</v>
      </c>
      <c r="D35" s="19" t="s">
        <v>49</v>
      </c>
      <c r="E35" s="122"/>
      <c r="F35" s="19">
        <v>1</v>
      </c>
      <c r="G35" s="30">
        <f>27*8.75</f>
        <v>236.25</v>
      </c>
      <c r="H35" s="54">
        <f t="shared" si="0"/>
        <v>236.25</v>
      </c>
      <c r="I35" s="50">
        <f t="shared" si="4"/>
        <v>2542.9949999999999</v>
      </c>
      <c r="J35" s="30">
        <v>3.5</v>
      </c>
      <c r="K35" s="50">
        <f t="shared" si="5"/>
        <v>11.479999999999999</v>
      </c>
      <c r="L35" s="30">
        <v>1980</v>
      </c>
      <c r="M35" s="19">
        <v>2022</v>
      </c>
      <c r="N35" s="19">
        <f t="shared" si="6"/>
        <v>42</v>
      </c>
      <c r="O35" s="19">
        <v>60</v>
      </c>
      <c r="P35" s="51">
        <v>0.1</v>
      </c>
      <c r="Q35" s="52">
        <f t="shared" si="7"/>
        <v>1.5000000000000001E-2</v>
      </c>
      <c r="R35" s="39">
        <v>1200</v>
      </c>
      <c r="S35" s="39">
        <f t="shared" si="8"/>
        <v>3051594</v>
      </c>
      <c r="T35" s="39">
        <f t="shared" si="1"/>
        <v>1922504.2200000002</v>
      </c>
      <c r="U35" s="39">
        <f t="shared" si="2"/>
        <v>1129089.7799999998</v>
      </c>
      <c r="V35" s="53">
        <v>0</v>
      </c>
      <c r="W35" s="39">
        <f t="shared" si="3"/>
        <v>1129089.7799999998</v>
      </c>
    </row>
    <row r="36" spans="2:23" s="44" customFormat="1" x14ac:dyDescent="0.25">
      <c r="B36" s="58">
        <v>32</v>
      </c>
      <c r="C36" s="30" t="s">
        <v>66</v>
      </c>
      <c r="D36" s="19" t="s">
        <v>50</v>
      </c>
      <c r="E36" s="122"/>
      <c r="F36" s="19">
        <v>1</v>
      </c>
      <c r="G36" s="30">
        <v>415</v>
      </c>
      <c r="H36" s="54">
        <f t="shared" si="0"/>
        <v>415</v>
      </c>
      <c r="I36" s="50">
        <f t="shared" si="4"/>
        <v>4467.0599999999995</v>
      </c>
      <c r="J36" s="30">
        <v>4.4000000000000004</v>
      </c>
      <c r="K36" s="50">
        <f t="shared" si="5"/>
        <v>14.432</v>
      </c>
      <c r="L36" s="30">
        <v>1978</v>
      </c>
      <c r="M36" s="33">
        <v>2022</v>
      </c>
      <c r="N36" s="33">
        <f t="shared" si="6"/>
        <v>44</v>
      </c>
      <c r="O36" s="33">
        <v>60</v>
      </c>
      <c r="P36" s="59">
        <v>0.1</v>
      </c>
      <c r="Q36" s="60">
        <f t="shared" si="7"/>
        <v>1.5000000000000001E-2</v>
      </c>
      <c r="R36" s="61">
        <v>1400</v>
      </c>
      <c r="S36" s="61">
        <f t="shared" si="8"/>
        <v>6253883.9999999991</v>
      </c>
      <c r="T36" s="61">
        <f t="shared" si="1"/>
        <v>4127563.44</v>
      </c>
      <c r="U36" s="61">
        <f t="shared" si="2"/>
        <v>2126320.5599999991</v>
      </c>
      <c r="V36" s="62">
        <v>0</v>
      </c>
      <c r="W36" s="61">
        <f t="shared" si="3"/>
        <v>2126320.5599999991</v>
      </c>
    </row>
    <row r="37" spans="2:23" s="45" customFormat="1" ht="17.25" customHeight="1" x14ac:dyDescent="0.25">
      <c r="B37" s="49">
        <v>33</v>
      </c>
      <c r="C37" s="30" t="s">
        <v>66</v>
      </c>
      <c r="D37" s="30" t="s">
        <v>90</v>
      </c>
      <c r="E37" s="122"/>
      <c r="F37" s="19">
        <v>1</v>
      </c>
      <c r="G37" s="30">
        <v>49</v>
      </c>
      <c r="H37" s="54">
        <f t="shared" si="0"/>
        <v>49</v>
      </c>
      <c r="I37" s="50">
        <f t="shared" si="4"/>
        <v>527.43599999999992</v>
      </c>
      <c r="J37" s="30">
        <v>4.4000000000000004</v>
      </c>
      <c r="K37" s="50">
        <f t="shared" si="5"/>
        <v>14.432</v>
      </c>
      <c r="L37" s="30">
        <v>1991</v>
      </c>
      <c r="M37" s="19">
        <v>2022</v>
      </c>
      <c r="N37" s="19">
        <f t="shared" si="6"/>
        <v>31</v>
      </c>
      <c r="O37" s="19">
        <v>60</v>
      </c>
      <c r="P37" s="51">
        <v>0.1</v>
      </c>
      <c r="Q37" s="52">
        <f t="shared" si="7"/>
        <v>1.5000000000000001E-2</v>
      </c>
      <c r="R37" s="39">
        <v>1400</v>
      </c>
      <c r="S37" s="39">
        <f t="shared" si="8"/>
        <v>738410.39999999991</v>
      </c>
      <c r="T37" s="39">
        <f t="shared" si="1"/>
        <v>343360.83599999995</v>
      </c>
      <c r="U37" s="39">
        <f t="shared" si="2"/>
        <v>395049.56399999995</v>
      </c>
      <c r="V37" s="53">
        <v>0</v>
      </c>
      <c r="W37" s="39">
        <f t="shared" si="3"/>
        <v>395049.56399999995</v>
      </c>
    </row>
    <row r="38" spans="2:23" s="45" customFormat="1" x14ac:dyDescent="0.25">
      <c r="B38" s="49">
        <v>34</v>
      </c>
      <c r="C38" s="30" t="s">
        <v>66</v>
      </c>
      <c r="D38" s="19" t="s">
        <v>51</v>
      </c>
      <c r="E38" s="122"/>
      <c r="F38" s="19">
        <v>1</v>
      </c>
      <c r="G38" s="30">
        <v>1034</v>
      </c>
      <c r="H38" s="54">
        <f t="shared" si="0"/>
        <v>1034</v>
      </c>
      <c r="I38" s="50">
        <f t="shared" si="4"/>
        <v>11129.975999999999</v>
      </c>
      <c r="J38" s="30">
        <v>3.5</v>
      </c>
      <c r="K38" s="50">
        <f t="shared" si="5"/>
        <v>11.479999999999999</v>
      </c>
      <c r="L38" s="30">
        <v>1977</v>
      </c>
      <c r="M38" s="19">
        <v>2022</v>
      </c>
      <c r="N38" s="19">
        <f t="shared" si="6"/>
        <v>45</v>
      </c>
      <c r="O38" s="19">
        <v>60</v>
      </c>
      <c r="P38" s="51">
        <v>0.1</v>
      </c>
      <c r="Q38" s="52">
        <f t="shared" si="7"/>
        <v>1.5000000000000001E-2</v>
      </c>
      <c r="R38" s="39">
        <v>1400</v>
      </c>
      <c r="S38" s="39">
        <f t="shared" si="8"/>
        <v>15581966.399999999</v>
      </c>
      <c r="T38" s="39">
        <f t="shared" si="1"/>
        <v>10517827.319999998</v>
      </c>
      <c r="U38" s="39">
        <f t="shared" si="2"/>
        <v>5064139.08</v>
      </c>
      <c r="V38" s="53">
        <v>0</v>
      </c>
      <c r="W38" s="39">
        <f t="shared" si="3"/>
        <v>5064139.08</v>
      </c>
    </row>
    <row r="39" spans="2:23" s="45" customFormat="1" ht="20.25" customHeight="1" x14ac:dyDescent="0.25">
      <c r="B39" s="49">
        <v>35</v>
      </c>
      <c r="C39" s="30" t="s">
        <v>66</v>
      </c>
      <c r="D39" s="19" t="s">
        <v>52</v>
      </c>
      <c r="E39" s="122"/>
      <c r="F39" s="19">
        <v>1</v>
      </c>
      <c r="G39" s="23">
        <f>518+((30*15*2)/10.768)+((30*22)/10.768)</f>
        <v>662.87369985141163</v>
      </c>
      <c r="H39" s="54">
        <f t="shared" si="0"/>
        <v>662.87369985141163</v>
      </c>
      <c r="I39" s="50">
        <f t="shared" si="4"/>
        <v>7135.1725052005941</v>
      </c>
      <c r="J39" s="30">
        <v>3.5</v>
      </c>
      <c r="K39" s="50">
        <f t="shared" si="5"/>
        <v>11.479999999999999</v>
      </c>
      <c r="L39" s="30">
        <v>1977</v>
      </c>
      <c r="M39" s="19">
        <v>2022</v>
      </c>
      <c r="N39" s="19">
        <f t="shared" si="6"/>
        <v>45</v>
      </c>
      <c r="O39" s="19">
        <v>60</v>
      </c>
      <c r="P39" s="51">
        <v>0.1</v>
      </c>
      <c r="Q39" s="52">
        <f t="shared" si="7"/>
        <v>1.5000000000000001E-2</v>
      </c>
      <c r="R39" s="39">
        <v>1500</v>
      </c>
      <c r="S39" s="39">
        <f>R39*I39</f>
        <v>10702758.757800892</v>
      </c>
      <c r="T39" s="39">
        <f t="shared" si="1"/>
        <v>7224362.1615156019</v>
      </c>
      <c r="U39" s="39">
        <f t="shared" si="2"/>
        <v>3478396.5962852901</v>
      </c>
      <c r="V39" s="53">
        <v>0</v>
      </c>
      <c r="W39" s="39">
        <f t="shared" si="3"/>
        <v>3478396.5962852901</v>
      </c>
    </row>
    <row r="40" spans="2:23" s="45" customFormat="1" ht="22.5" customHeight="1" x14ac:dyDescent="0.25">
      <c r="B40" s="49">
        <v>36</v>
      </c>
      <c r="C40" s="30" t="s">
        <v>66</v>
      </c>
      <c r="D40" s="30" t="s">
        <v>91</v>
      </c>
      <c r="E40" s="125"/>
      <c r="F40" s="19">
        <v>1</v>
      </c>
      <c r="G40" s="23">
        <v>61</v>
      </c>
      <c r="H40" s="54">
        <f t="shared" si="0"/>
        <v>61</v>
      </c>
      <c r="I40" s="50">
        <f t="shared" si="4"/>
        <v>656.60399999999993</v>
      </c>
      <c r="J40" s="30">
        <v>3.5</v>
      </c>
      <c r="K40" s="50">
        <f t="shared" si="5"/>
        <v>11.479999999999999</v>
      </c>
      <c r="L40" s="30">
        <v>2015</v>
      </c>
      <c r="M40" s="19">
        <v>2022</v>
      </c>
      <c r="N40" s="19">
        <f t="shared" si="6"/>
        <v>7</v>
      </c>
      <c r="O40" s="19">
        <v>60</v>
      </c>
      <c r="P40" s="51">
        <v>0.1</v>
      </c>
      <c r="Q40" s="52">
        <f t="shared" si="7"/>
        <v>1.5000000000000001E-2</v>
      </c>
      <c r="R40" s="39">
        <v>1500</v>
      </c>
      <c r="S40" s="39">
        <f t="shared" si="8"/>
        <v>984905.99999999988</v>
      </c>
      <c r="T40" s="39">
        <f t="shared" si="1"/>
        <v>103415.13</v>
      </c>
      <c r="U40" s="39">
        <f t="shared" si="2"/>
        <v>881490.86999999988</v>
      </c>
      <c r="V40" s="53">
        <v>0</v>
      </c>
      <c r="W40" s="39">
        <f t="shared" si="3"/>
        <v>881490.86999999988</v>
      </c>
    </row>
    <row r="41" spans="2:23" s="45" customFormat="1" ht="57.75" customHeight="1" x14ac:dyDescent="0.25">
      <c r="B41" s="49">
        <v>37</v>
      </c>
      <c r="C41" s="30" t="s">
        <v>66</v>
      </c>
      <c r="D41" s="19" t="s">
        <v>53</v>
      </c>
      <c r="E41" s="21" t="s">
        <v>75</v>
      </c>
      <c r="F41" s="19">
        <v>1</v>
      </c>
      <c r="G41" s="23">
        <v>82.62</v>
      </c>
      <c r="H41" s="54">
        <f t="shared" si="0"/>
        <v>82.62</v>
      </c>
      <c r="I41" s="50">
        <f t="shared" si="4"/>
        <v>889.32168000000001</v>
      </c>
      <c r="J41" s="30">
        <v>4</v>
      </c>
      <c r="K41" s="50">
        <f t="shared" si="5"/>
        <v>13.12</v>
      </c>
      <c r="L41" s="30">
        <v>1977</v>
      </c>
      <c r="M41" s="19">
        <v>2022</v>
      </c>
      <c r="N41" s="19">
        <f t="shared" si="6"/>
        <v>45</v>
      </c>
      <c r="O41" s="19">
        <v>60</v>
      </c>
      <c r="P41" s="51">
        <v>0.1</v>
      </c>
      <c r="Q41" s="52">
        <f t="shared" si="7"/>
        <v>1.5000000000000001E-2</v>
      </c>
      <c r="R41" s="39">
        <v>1200</v>
      </c>
      <c r="S41" s="39">
        <f t="shared" si="8"/>
        <v>1067186.0160000001</v>
      </c>
      <c r="T41" s="39">
        <f t="shared" si="1"/>
        <v>720350.56080000009</v>
      </c>
      <c r="U41" s="39">
        <f t="shared" si="2"/>
        <v>346835.45519999997</v>
      </c>
      <c r="V41" s="53">
        <v>0</v>
      </c>
      <c r="W41" s="39">
        <f t="shared" si="3"/>
        <v>346835.45519999997</v>
      </c>
    </row>
    <row r="42" spans="2:23" s="45" customFormat="1" ht="31.5" customHeight="1" x14ac:dyDescent="0.25">
      <c r="B42" s="49">
        <v>38</v>
      </c>
      <c r="C42" s="30" t="s">
        <v>67</v>
      </c>
      <c r="D42" s="19" t="s">
        <v>54</v>
      </c>
      <c r="E42" s="19" t="s">
        <v>119</v>
      </c>
      <c r="F42" s="19">
        <v>1</v>
      </c>
      <c r="G42" s="30"/>
      <c r="H42" s="54">
        <f t="shared" si="0"/>
        <v>0</v>
      </c>
      <c r="I42" s="50">
        <f t="shared" si="4"/>
        <v>0</v>
      </c>
      <c r="J42" s="30">
        <v>7</v>
      </c>
      <c r="K42" s="50">
        <f t="shared" si="5"/>
        <v>22.959999999999997</v>
      </c>
      <c r="L42" s="30">
        <v>1993</v>
      </c>
      <c r="M42" s="19">
        <v>2022</v>
      </c>
      <c r="N42" s="19">
        <f t="shared" si="6"/>
        <v>29</v>
      </c>
      <c r="O42" s="19">
        <v>60</v>
      </c>
      <c r="P42" s="51">
        <v>0.1</v>
      </c>
      <c r="Q42" s="52">
        <f t="shared" si="7"/>
        <v>1.5000000000000001E-2</v>
      </c>
      <c r="R42" s="39">
        <v>1400</v>
      </c>
      <c r="S42" s="39">
        <f t="shared" si="8"/>
        <v>0</v>
      </c>
      <c r="T42" s="39">
        <f t="shared" si="1"/>
        <v>0</v>
      </c>
      <c r="U42" s="39">
        <f t="shared" si="2"/>
        <v>0</v>
      </c>
      <c r="V42" s="53">
        <v>0</v>
      </c>
      <c r="W42" s="39">
        <f t="shared" si="3"/>
        <v>0</v>
      </c>
    </row>
    <row r="43" spans="2:23" s="45" customFormat="1" ht="42" customHeight="1" x14ac:dyDescent="0.25">
      <c r="B43" s="49">
        <v>40</v>
      </c>
      <c r="C43" s="30" t="s">
        <v>66</v>
      </c>
      <c r="D43" s="19" t="s">
        <v>56</v>
      </c>
      <c r="E43" s="19" t="s">
        <v>119</v>
      </c>
      <c r="F43" s="19">
        <v>1</v>
      </c>
      <c r="G43" s="30">
        <f>(5*12*2+5*15*2)</f>
        <v>270</v>
      </c>
      <c r="H43" s="30">
        <f>(5*12*2+5*15*2)</f>
        <v>270</v>
      </c>
      <c r="I43" s="50">
        <f t="shared" si="4"/>
        <v>2906.2799999999997</v>
      </c>
      <c r="J43" s="30">
        <v>3.5</v>
      </c>
      <c r="K43" s="50">
        <f t="shared" si="5"/>
        <v>11.479999999999999</v>
      </c>
      <c r="L43" s="30">
        <v>1977</v>
      </c>
      <c r="M43" s="19">
        <v>2022</v>
      </c>
      <c r="N43" s="19">
        <f t="shared" si="6"/>
        <v>45</v>
      </c>
      <c r="O43" s="19">
        <v>60</v>
      </c>
      <c r="P43" s="51">
        <v>0.1</v>
      </c>
      <c r="Q43" s="52">
        <f t="shared" si="7"/>
        <v>1.5000000000000001E-2</v>
      </c>
      <c r="R43" s="39">
        <v>1200</v>
      </c>
      <c r="S43" s="39">
        <f>R43*H43</f>
        <v>324000</v>
      </c>
      <c r="T43" s="39">
        <f t="shared" si="1"/>
        <v>218700</v>
      </c>
      <c r="U43" s="39">
        <f t="shared" si="2"/>
        <v>105300</v>
      </c>
      <c r="V43" s="53">
        <v>0</v>
      </c>
      <c r="W43" s="39">
        <f t="shared" si="3"/>
        <v>105300</v>
      </c>
    </row>
    <row r="44" spans="2:23" s="45" customFormat="1" ht="65.25" customHeight="1" x14ac:dyDescent="0.25">
      <c r="B44" s="49">
        <v>41</v>
      </c>
      <c r="C44" s="30" t="s">
        <v>66</v>
      </c>
      <c r="D44" s="19" t="s">
        <v>57</v>
      </c>
      <c r="E44" s="55" t="s">
        <v>75</v>
      </c>
      <c r="F44" s="19">
        <v>1</v>
      </c>
      <c r="G44" s="30">
        <f>10*15</f>
        <v>150</v>
      </c>
      <c r="H44" s="30">
        <f>10*15</f>
        <v>150</v>
      </c>
      <c r="I44" s="50">
        <f t="shared" si="4"/>
        <v>1614.6</v>
      </c>
      <c r="J44" s="30">
        <v>4.5</v>
      </c>
      <c r="K44" s="50">
        <f t="shared" si="5"/>
        <v>14.76</v>
      </c>
      <c r="L44" s="30">
        <v>1995</v>
      </c>
      <c r="M44" s="19">
        <v>2022</v>
      </c>
      <c r="N44" s="19">
        <f t="shared" si="6"/>
        <v>27</v>
      </c>
      <c r="O44" s="19">
        <v>60</v>
      </c>
      <c r="P44" s="51">
        <v>0.1</v>
      </c>
      <c r="Q44" s="52">
        <f t="shared" si="7"/>
        <v>1.5000000000000001E-2</v>
      </c>
      <c r="R44" s="39">
        <v>1200</v>
      </c>
      <c r="S44" s="39">
        <f>R44*H44</f>
        <v>180000</v>
      </c>
      <c r="T44" s="39">
        <f t="shared" si="1"/>
        <v>72900</v>
      </c>
      <c r="U44" s="39">
        <f t="shared" si="2"/>
        <v>107100</v>
      </c>
      <c r="V44" s="53">
        <v>0</v>
      </c>
      <c r="W44" s="39">
        <f t="shared" si="3"/>
        <v>107100</v>
      </c>
    </row>
    <row r="45" spans="2:23" ht="15.75" x14ac:dyDescent="0.25">
      <c r="B45" s="135" t="s">
        <v>120</v>
      </c>
      <c r="C45" s="130"/>
      <c r="D45" s="130"/>
      <c r="E45" s="130"/>
      <c r="F45" s="130"/>
      <c r="G45" s="130"/>
      <c r="H45" s="131"/>
      <c r="I45" s="67">
        <f>SUM(I5:I44)</f>
        <v>294132.96008505201</v>
      </c>
      <c r="J45" s="136"/>
      <c r="K45" s="137"/>
      <c r="L45" s="137"/>
      <c r="M45" s="137"/>
      <c r="N45" s="137"/>
      <c r="O45" s="137"/>
      <c r="P45" s="137"/>
      <c r="Q45" s="137"/>
      <c r="R45" s="137"/>
      <c r="S45" s="138"/>
      <c r="T45" s="5"/>
      <c r="U45" s="5"/>
      <c r="V45" s="5"/>
      <c r="W45" s="68">
        <f>SUM(W5:W44)</f>
        <v>153443600.74281666</v>
      </c>
    </row>
  </sheetData>
  <mergeCells count="4">
    <mergeCell ref="B3:W3"/>
    <mergeCell ref="E5:E40"/>
    <mergeCell ref="B45:H45"/>
    <mergeCell ref="J45:S45"/>
  </mergeCells>
  <dataValidations count="1">
    <dataValidation type="list" allowBlank="1" showInputMessage="1" showErrorMessage="1" sqref="E42:E43">
      <formula1>$K$2:$K$7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20"/>
  <sheetViews>
    <sheetView tabSelected="1" workbookViewId="0">
      <selection activeCell="M11" sqref="M11"/>
    </sheetView>
  </sheetViews>
  <sheetFormatPr defaultRowHeight="15" x14ac:dyDescent="0.25"/>
  <cols>
    <col min="3" max="3" width="11.7109375" customWidth="1"/>
    <col min="4" max="4" width="18.140625" customWidth="1"/>
    <col min="5" max="5" width="17.5703125" hidden="1" customWidth="1"/>
    <col min="6" max="6" width="15" customWidth="1"/>
    <col min="7" max="7" width="15.7109375" customWidth="1"/>
    <col min="8" max="8" width="15" customWidth="1"/>
    <col min="9" max="9" width="16.85546875" customWidth="1"/>
    <col min="10" max="10" width="16" customWidth="1"/>
  </cols>
  <sheetData>
    <row r="4" spans="3:14" ht="15.75" x14ac:dyDescent="0.25">
      <c r="C4" s="140" t="s">
        <v>172</v>
      </c>
      <c r="D4" s="140"/>
      <c r="E4" s="140"/>
      <c r="F4" s="140"/>
      <c r="G4" s="140"/>
      <c r="H4" s="140"/>
      <c r="I4" s="140"/>
      <c r="J4" s="140"/>
    </row>
    <row r="5" spans="3:14" ht="60" x14ac:dyDescent="0.25">
      <c r="C5" s="87" t="s">
        <v>149</v>
      </c>
      <c r="D5" s="87" t="s">
        <v>150</v>
      </c>
      <c r="E5" s="87" t="s">
        <v>151</v>
      </c>
      <c r="F5" s="87" t="s">
        <v>173</v>
      </c>
      <c r="G5" s="87" t="s">
        <v>152</v>
      </c>
      <c r="H5" s="87" t="s">
        <v>153</v>
      </c>
      <c r="I5" s="87" t="s">
        <v>154</v>
      </c>
      <c r="J5" s="87" t="s">
        <v>155</v>
      </c>
    </row>
    <row r="6" spans="3:14" ht="30" x14ac:dyDescent="0.25">
      <c r="C6" s="79">
        <v>1</v>
      </c>
      <c r="D6" s="153" t="s">
        <v>159</v>
      </c>
      <c r="E6" s="88" t="e">
        <f>#REF!</f>
        <v>#REF!</v>
      </c>
      <c r="F6" s="23">
        <f>'Plant building working '!G57</f>
        <v>1043140.8825863998</v>
      </c>
      <c r="G6" s="154">
        <f>'Plant building working '!U57</f>
        <v>367642034.97046733</v>
      </c>
      <c r="H6" s="154">
        <f>5.73*4047*1700</f>
        <v>39421827</v>
      </c>
      <c r="I6" s="154">
        <f>5500*5000</f>
        <v>27500000</v>
      </c>
      <c r="J6" s="154">
        <f>SUM(G6:I6)</f>
        <v>434563861.97046733</v>
      </c>
    </row>
    <row r="7" spans="3:14" ht="29.25" customHeight="1" x14ac:dyDescent="0.25">
      <c r="C7" s="79">
        <v>2</v>
      </c>
      <c r="D7" s="153" t="s">
        <v>160</v>
      </c>
      <c r="E7" s="88" t="e">
        <f>#REF!</f>
        <v>#REF!</v>
      </c>
      <c r="F7" s="23">
        <f>'Township building working '!I45</f>
        <v>294132.96008505201</v>
      </c>
      <c r="G7" s="154">
        <f>'Township building working '!W45</f>
        <v>153443600.74281666</v>
      </c>
      <c r="H7" s="154">
        <f>6.85*4047*1700</f>
        <v>47127314.999999993</v>
      </c>
      <c r="I7" s="154">
        <f>3.5*5500*1000</f>
        <v>19250000</v>
      </c>
      <c r="J7" s="154">
        <f>SUM(G7:I7)</f>
        <v>219820915.74281666</v>
      </c>
    </row>
    <row r="8" spans="3:14" ht="15.75" x14ac:dyDescent="0.25">
      <c r="C8" s="141" t="s">
        <v>120</v>
      </c>
      <c r="D8" s="141"/>
      <c r="E8" s="66" t="e">
        <f t="shared" ref="E8:J8" si="0">SUM(E6:E7)</f>
        <v>#REF!</v>
      </c>
      <c r="F8" s="65">
        <f>SUM(F6:F7)</f>
        <v>1337273.8426714519</v>
      </c>
      <c r="G8" s="66">
        <f t="shared" si="0"/>
        <v>521085635.71328402</v>
      </c>
      <c r="H8" s="66">
        <f t="shared" si="0"/>
        <v>86549142</v>
      </c>
      <c r="I8" s="66">
        <f t="shared" si="0"/>
        <v>46750000</v>
      </c>
      <c r="J8" s="66">
        <f t="shared" si="0"/>
        <v>654384777.71328402</v>
      </c>
      <c r="N8" s="103"/>
    </row>
    <row r="9" spans="3:14" x14ac:dyDescent="0.25">
      <c r="C9" s="142" t="s">
        <v>156</v>
      </c>
      <c r="D9" s="142"/>
      <c r="E9" s="142"/>
      <c r="F9" s="142"/>
      <c r="G9" s="142"/>
      <c r="H9" s="142"/>
      <c r="I9" s="142"/>
      <c r="J9" s="142"/>
    </row>
    <row r="10" spans="3:14" ht="30" customHeight="1" x14ac:dyDescent="0.25">
      <c r="C10" s="143" t="s">
        <v>157</v>
      </c>
      <c r="D10" s="143"/>
      <c r="E10" s="143"/>
      <c r="F10" s="143"/>
      <c r="G10" s="143"/>
      <c r="H10" s="143"/>
      <c r="I10" s="143"/>
      <c r="J10" s="143"/>
    </row>
    <row r="11" spans="3:14" ht="33" customHeight="1" x14ac:dyDescent="0.25">
      <c r="C11" s="143" t="s">
        <v>158</v>
      </c>
      <c r="D11" s="143"/>
      <c r="E11" s="143"/>
      <c r="F11" s="143"/>
      <c r="G11" s="143"/>
      <c r="H11" s="143"/>
      <c r="I11" s="143"/>
      <c r="J11" s="143"/>
    </row>
    <row r="12" spans="3:14" ht="30.75" customHeight="1" x14ac:dyDescent="0.25">
      <c r="C12" s="139" t="s">
        <v>171</v>
      </c>
      <c r="D12" s="139"/>
      <c r="E12" s="139"/>
      <c r="F12" s="139"/>
      <c r="G12" s="139"/>
      <c r="H12" s="139"/>
      <c r="I12" s="139"/>
      <c r="J12" s="139"/>
    </row>
    <row r="15" spans="3:14" x14ac:dyDescent="0.25">
      <c r="C15" s="151" t="s">
        <v>183</v>
      </c>
      <c r="D15" s="99">
        <f>'Land working'!P26</f>
        <v>850629171.89618921</v>
      </c>
    </row>
    <row r="16" spans="3:14" x14ac:dyDescent="0.25">
      <c r="C16" s="151" t="s">
        <v>184</v>
      </c>
      <c r="D16" s="101">
        <f>J8</f>
        <v>654384777.71328402</v>
      </c>
    </row>
    <row r="17" spans="3:7" x14ac:dyDescent="0.25">
      <c r="C17" s="151" t="s">
        <v>185</v>
      </c>
      <c r="D17" s="99">
        <f>SUM(D15:D16)</f>
        <v>1505013949.6094732</v>
      </c>
    </row>
    <row r="18" spans="3:7" x14ac:dyDescent="0.25">
      <c r="C18" s="151" t="s">
        <v>189</v>
      </c>
      <c r="D18" s="99">
        <v>1500000000</v>
      </c>
      <c r="G18" s="152"/>
    </row>
    <row r="19" spans="3:7" x14ac:dyDescent="0.25">
      <c r="C19" s="151" t="s">
        <v>186</v>
      </c>
      <c r="D19" s="99">
        <f>0.85*D18</f>
        <v>1275000000</v>
      </c>
    </row>
    <row r="20" spans="3:7" x14ac:dyDescent="0.25">
      <c r="C20" s="151" t="s">
        <v>187</v>
      </c>
      <c r="D20" s="99">
        <f>0.75*D18</f>
        <v>1125000000</v>
      </c>
    </row>
  </sheetData>
  <mergeCells count="6">
    <mergeCell ref="C12:J12"/>
    <mergeCell ref="C4:J4"/>
    <mergeCell ref="C8:D8"/>
    <mergeCell ref="C9:J9"/>
    <mergeCell ref="C10:J10"/>
    <mergeCell ref="C11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Land working</vt:lpstr>
      <vt:lpstr>Sheet3</vt:lpstr>
      <vt:lpstr>Circle rate calculation</vt:lpstr>
      <vt:lpstr>PlantBuildings floor area &amp; ht </vt:lpstr>
      <vt:lpstr>Plant building working </vt:lpstr>
      <vt:lpstr>Township Building s</vt:lpstr>
      <vt:lpstr>Township building working </vt:lpstr>
      <vt:lpstr>Summary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SCSHRIMALI</dc:creator>
  <cp:lastModifiedBy>Babul</cp:lastModifiedBy>
  <cp:lastPrinted>2022-08-03T10:10:42Z</cp:lastPrinted>
  <dcterms:created xsi:type="dcterms:W3CDTF">2017-06-22T10:24:07Z</dcterms:created>
  <dcterms:modified xsi:type="dcterms:W3CDTF">2022-09-09T11:31:43Z</dcterms:modified>
</cp:coreProperties>
</file>