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VIS(2022-23)-PL031-017-028_printing_1651482900\"/>
    </mc:Choice>
  </mc:AlternateContent>
  <bookViews>
    <workbookView showVerticalScroll="0" xWindow="0" yWindow="0" windowWidth="5100" windowHeight="915"/>
  </bookViews>
  <sheets>
    <sheet name="buildiong" sheetId="1" r:id="rId1"/>
    <sheet name="Sheet3" sheetId="3" r:id="rId2"/>
    <sheet name="Land" sheetId="2" r:id="rId3"/>
  </sheets>
  <externalReferences>
    <externalReference r:id="rId4"/>
  </externalReferences>
  <definedNames>
    <definedName name="_xlnm.Print_Area" localSheetId="0">buildiong!$B$1:$T$30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T35" i="1" l="1"/>
  <c r="T34" i="1" l="1"/>
  <c r="U33" i="1"/>
  <c r="J13" i="3"/>
  <c r="K11" i="3"/>
  <c r="F8" i="3"/>
  <c r="H8" i="3" s="1"/>
  <c r="H12" i="3" s="1"/>
  <c r="F7" i="3"/>
  <c r="H7" i="3" s="1"/>
  <c r="H9" i="3" s="1"/>
  <c r="M11" i="3" s="1"/>
  <c r="T37" i="1" l="1"/>
  <c r="F9" i="3"/>
  <c r="N21" i="1" l="1"/>
  <c r="N22" i="1"/>
  <c r="P4" i="1"/>
  <c r="G5" i="1"/>
  <c r="P5" i="1" s="1"/>
  <c r="Q5" i="1" s="1"/>
  <c r="G6" i="1"/>
  <c r="P6" i="1" s="1"/>
  <c r="G7" i="1"/>
  <c r="P7" i="1" s="1"/>
  <c r="G8" i="1"/>
  <c r="P8" i="1" s="1"/>
  <c r="G9" i="1"/>
  <c r="P9" i="1" s="1"/>
  <c r="G10" i="1"/>
  <c r="P10" i="1" s="1"/>
  <c r="G11" i="1"/>
  <c r="P11" i="1" s="1"/>
  <c r="G12" i="1"/>
  <c r="P12" i="1" s="1"/>
  <c r="G13" i="1"/>
  <c r="P13" i="1" s="1"/>
  <c r="G14" i="1"/>
  <c r="P14" i="1" s="1"/>
  <c r="G15" i="1"/>
  <c r="P15" i="1" s="1"/>
  <c r="G16" i="1"/>
  <c r="P16" i="1" s="1"/>
  <c r="G17" i="1"/>
  <c r="P17" i="1" s="1"/>
  <c r="G18" i="1"/>
  <c r="P18" i="1" s="1"/>
  <c r="G19" i="1"/>
  <c r="P19" i="1" s="1"/>
  <c r="G20" i="1"/>
  <c r="P20" i="1" s="1"/>
  <c r="G21" i="1"/>
  <c r="P21" i="1" s="1"/>
  <c r="G22" i="1"/>
  <c r="P22" i="1" s="1"/>
  <c r="G23" i="1"/>
  <c r="P23" i="1" s="1"/>
  <c r="Q23" i="1" s="1"/>
  <c r="G24" i="1"/>
  <c r="P24" i="1" s="1"/>
  <c r="G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3" i="1"/>
  <c r="N2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Q9" i="1" l="1"/>
  <c r="R9" i="1" s="1"/>
  <c r="Q15" i="1"/>
  <c r="Q17" i="1"/>
  <c r="R17" i="1" s="1"/>
  <c r="T17" i="1" s="1"/>
  <c r="Q7" i="1"/>
  <c r="R7" i="1" s="1"/>
  <c r="Q20" i="1"/>
  <c r="R20" i="1" s="1"/>
  <c r="T20" i="1" s="1"/>
  <c r="Q8" i="1"/>
  <c r="R8" i="1" s="1"/>
  <c r="Q16" i="1"/>
  <c r="R16" i="1" s="1"/>
  <c r="T16" i="1" s="1"/>
  <c r="Q24" i="1"/>
  <c r="R24" i="1" s="1"/>
  <c r="Q13" i="1"/>
  <c r="R13" i="1" s="1"/>
  <c r="T13" i="1" s="1"/>
  <c r="R15" i="1"/>
  <c r="T15" i="1" s="1"/>
  <c r="Q19" i="1"/>
  <c r="R19" i="1" s="1"/>
  <c r="T19" i="1" s="1"/>
  <c r="Q22" i="1"/>
  <c r="R22" i="1" s="1"/>
  <c r="T22" i="1" s="1"/>
  <c r="Q18" i="1"/>
  <c r="R18" i="1" s="1"/>
  <c r="T18" i="1" s="1"/>
  <c r="Q14" i="1"/>
  <c r="R14" i="1" s="1"/>
  <c r="T14" i="1" s="1"/>
  <c r="Q10" i="1"/>
  <c r="R10" i="1" s="1"/>
  <c r="Q6" i="1"/>
  <c r="R6" i="1" s="1"/>
  <c r="R23" i="1"/>
  <c r="T23" i="1" s="1"/>
  <c r="R5" i="1"/>
  <c r="Q21" i="1"/>
  <c r="R21" i="1" s="1"/>
  <c r="T21" i="1" s="1"/>
  <c r="Q12" i="1"/>
  <c r="R12" i="1" s="1"/>
  <c r="Q11" i="1"/>
  <c r="U22" i="1" l="1"/>
  <c r="U21" i="1"/>
  <c r="U19" i="1"/>
  <c r="U16" i="1"/>
  <c r="U14" i="1"/>
  <c r="U15" i="1"/>
  <c r="U17" i="1"/>
  <c r="U18" i="1"/>
  <c r="U23" i="1"/>
  <c r="U20" i="1"/>
  <c r="U13" i="1"/>
  <c r="T24" i="1"/>
  <c r="T6" i="1"/>
  <c r="T5" i="1"/>
  <c r="T7" i="1"/>
  <c r="T9" i="1"/>
  <c r="T12" i="1"/>
  <c r="T8" i="1"/>
  <c r="T10" i="1"/>
  <c r="R11" i="1"/>
  <c r="U9" i="1" l="1"/>
  <c r="U10" i="1"/>
  <c r="U8" i="1"/>
  <c r="U7" i="1"/>
  <c r="U12" i="1"/>
  <c r="U6" i="1"/>
  <c r="U5" i="1"/>
  <c r="U24" i="1"/>
  <c r="T11" i="1"/>
  <c r="U11" i="1" l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P25" i="1" l="1"/>
  <c r="K4" i="1"/>
  <c r="N4" i="1"/>
  <c r="Q4" i="1" s="1"/>
  <c r="R4" i="1" s="1"/>
  <c r="T4" i="1" l="1"/>
  <c r="Q25" i="1"/>
  <c r="U4" i="1" l="1"/>
  <c r="T25" i="1"/>
  <c r="T36" i="1" s="1"/>
  <c r="R25" i="1"/>
</calcChain>
</file>

<file path=xl/comments1.xml><?xml version="1.0" encoding="utf-8"?>
<comments xmlns="http://schemas.openxmlformats.org/spreadsheetml/2006/main">
  <authors>
    <author>admin</author>
  </authors>
  <commentList>
    <comment ref="R2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<sst xmlns="http://schemas.openxmlformats.org/spreadsheetml/2006/main" count="91" uniqueCount="73">
  <si>
    <t>SR. No.</t>
  </si>
  <si>
    <t>Floor</t>
  </si>
  <si>
    <t>Ground 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</si>
  <si>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</si>
  <si>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</si>
  <si>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</si>
  <si>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</si>
  <si>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</si>
  <si>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</si>
  <si>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</si>
  <si>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</si>
  <si>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</si>
  <si>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Particular</t>
  </si>
  <si>
    <t>Gross Replacement Value
(INR)</t>
  </si>
  <si>
    <t>1. All the details pertaing to the building area statement such as area, floor, etc has been taken from the site survey.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</si>
  <si>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</si>
  <si>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</si>
  <si>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</si>
  <si>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</si>
  <si>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</si>
  <si>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Remarks:</t>
  </si>
  <si>
    <t>BUILDING VALUATION OF SISHPAL SINGH, SOBAN SINGH, AYUSH| DEHRADUN</t>
  </si>
  <si>
    <t>Total</t>
  </si>
  <si>
    <t>4. The valuation is done by considering the depreciated replacement cost approach.</t>
  </si>
  <si>
    <r>
      <t xml:space="preserve">3. </t>
    </r>
    <r>
      <rPr>
        <b/>
        <i/>
        <sz val="11"/>
        <color theme="1"/>
        <rFont val="Calibri"/>
        <family val="2"/>
        <scheme val="minor"/>
      </rPr>
      <t>Age of the building has been taken as per information gathered at site, since no representative was present either from banks end or from clients end</t>
    </r>
  </si>
  <si>
    <r>
      <t xml:space="preserve">2. All the structure that has been taken in the area statemnet belonging to </t>
    </r>
    <r>
      <rPr>
        <b/>
        <i/>
        <sz val="11"/>
        <color theme="1"/>
        <rFont val="Calibri"/>
        <family val="2"/>
        <scheme val="minor"/>
      </rPr>
      <t>Gauri Shankar Singh(as per the sale deed provided to us by the bank)</t>
    </r>
  </si>
  <si>
    <t>W.H. NO. 52</t>
  </si>
  <si>
    <t>W.H. NO. 53</t>
  </si>
  <si>
    <t>W.H. NO. 54</t>
  </si>
  <si>
    <t>Container Yard - 1</t>
  </si>
  <si>
    <t>Container Yard - 2</t>
  </si>
  <si>
    <t>Container Yard - 3</t>
  </si>
  <si>
    <t>Container Yard - 4</t>
  </si>
  <si>
    <t>ODC Yard</t>
  </si>
  <si>
    <t>Examination Yard, Destuffing Area, Empty Container Yard</t>
  </si>
  <si>
    <t>CO 1</t>
  </si>
  <si>
    <t>CO 2</t>
  </si>
  <si>
    <t>Data Centre</t>
  </si>
  <si>
    <t>Substation</t>
  </si>
  <si>
    <t>Gatehouse 1</t>
  </si>
  <si>
    <t>Gatehouse 2</t>
  </si>
  <si>
    <t>HVAC Plant Room</t>
  </si>
  <si>
    <t>Meter Room</t>
  </si>
  <si>
    <t>STP</t>
  </si>
  <si>
    <t>UG Tank</t>
  </si>
  <si>
    <t>Weigh Bridge</t>
  </si>
  <si>
    <t>Spine Road, Concrete Road</t>
  </si>
  <si>
    <t>GI sheet roof mounted on iron pillars, trusses frame structure</t>
  </si>
  <si>
    <t xml:space="preserve">Open </t>
  </si>
  <si>
    <t>RCC load bearing structure on beam column and 9" brick walls</t>
  </si>
  <si>
    <t>RCC</t>
  </si>
  <si>
    <t>RCC Concrete</t>
  </si>
  <si>
    <r>
      <t xml:space="preserve">Area 
</t>
    </r>
    <r>
      <rPr>
        <b/>
        <i/>
        <sz val="10"/>
        <rFont val="Calibri"/>
        <family val="2"/>
        <scheme val="minor"/>
      </rPr>
      <t>(in sq.mtr.)</t>
    </r>
  </si>
  <si>
    <r>
      <t xml:space="preserve">Area 
</t>
    </r>
    <r>
      <rPr>
        <b/>
        <i/>
        <sz val="10"/>
        <rFont val="Calibri"/>
        <family val="2"/>
        <scheme val="minor"/>
      </rPr>
      <t>(in sq.ft.)</t>
    </r>
  </si>
  <si>
    <t xml:space="preserve">Rate </t>
  </si>
  <si>
    <t>Structure</t>
  </si>
  <si>
    <t>Ancillary</t>
  </si>
  <si>
    <t>Building Sheet</t>
  </si>
  <si>
    <t>M/s. Arshia Northern Free Trading Warehousing Zone Ltd.</t>
  </si>
  <si>
    <t>S. no.</t>
  </si>
  <si>
    <t>Name of Facility</t>
  </si>
  <si>
    <t>Floor Area (in sq. mtr.)</t>
  </si>
  <si>
    <r>
      <t xml:space="preserve">Area                     </t>
    </r>
    <r>
      <rPr>
        <i/>
        <sz val="11"/>
        <color theme="1"/>
        <rFont val="Calibri"/>
        <family val="2"/>
        <scheme val="minor"/>
      </rPr>
      <t xml:space="preserve">(in Running meter) 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</si>
  <si>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Rates adopted           </t>
    </r>
    <r>
      <rPr>
        <i/>
        <sz val="11"/>
        <color theme="1"/>
        <rFont val="Calibri"/>
        <family val="2"/>
        <scheme val="minor"/>
      </rPr>
      <t>(in per running mtr)</t>
    </r>
  </si>
  <si>
    <t>Depreciated Replacement Value</t>
  </si>
  <si>
    <t>Compound Wall (in RM)</t>
  </si>
  <si>
    <t>Storm Water Drain (in RM)</t>
  </si>
  <si>
    <t xml:space="preserve">Remarks:- </t>
  </si>
  <si>
    <t xml:space="preserve">1. The covered area of the property has been taken on the basis of information/ data provided by the company itself. However, the cross verification of area was also done by our surveyor at the site by doing sample measurment of the some structure.  </t>
  </si>
  <si>
    <t xml:space="preserve">2. The Valuation of the structure is done on the basis of 'Depreciated Replacement Cost approach'. </t>
  </si>
  <si>
    <t>Land Value</t>
  </si>
  <si>
    <t>Total Value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</si>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</sst>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[$₹-4009]\ * #,##0.00_ ;_ [$₹-4009]\ * \-#,##0.00_ ;_ [$₹-4009]\ * &quot;-&quot;??_ ;_ @_ "/>
    <numFmt numFmtId="168" formatCode="_ &quot;Rs.&quot;\ * #,##0.00_ ;_ &quot;Rs.&quot;\ * \-#,##0.00_ ;_ &quot;Rs.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0" fontId="2" fillId="0" borderId="1" xfId="0" applyFont="1" applyBorder="1" applyAlignment="1">
      <alignment horizontal="center" vertical="center"/>
    </xf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0" xfId="0" applyFont="1"/>
    <xf numFmtId="0" fontId="2" fillId="5" borderId="0" xfId="0" applyFont="1" applyFill="1"/>
    <xf numFmtId="166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6" fontId="0" fillId="6" borderId="1" xfId="1" applyNumberFormat="1" applyFont="1" applyFill="1" applyBorder="1" applyAlignment="1">
      <alignment horizontal="center" vertical="center"/>
    </xf>
    <xf numFmtId="9" fontId="0" fillId="6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0" fillId="6" borderId="1" xfId="1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/>
    <xf numFmtId="168" fontId="2" fillId="0" borderId="1" xfId="0" applyNumberFormat="1" applyFont="1" applyBorder="1"/>
    <xf numFmtId="167" fontId="2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167" fontId="0" fillId="0" borderId="0" xfId="0" applyNumberFormat="1"/>
    <xf numFmtId="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2" fillId="7" borderId="2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m-19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8">
          <cell r="L28">
            <v>765126697.42109573</v>
          </cell>
        </row>
      </sheetData>
      <sheetData sheetId="1">
        <row r="9">
          <cell r="H9">
            <v>24032079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52"/>
  <sheetViews>
    <sheetView tabSelected="1" topLeftCell="B25" zoomScaleNormal="100" zoomScaleSheetLayoutView="85" workbookViewId="0">
      <selection activeCell="T39" sqref="T39"/>
    </sheetView>
  </sheetViews>
  <sheetFormatPr defaultRowHeight="15" x14ac:dyDescent="0.25"/>
  <cols>
    <col min="1" max="1" width="7.85546875" customWidth="1"/>
    <col min="2" max="2" width="7.28515625" bestFit="1" customWidth="1"/>
    <col min="3" max="3" width="15.140625" customWidth="1"/>
    <col min="4" max="4" width="22.42578125" style="12" customWidth="1"/>
    <col min="5" max="5" width="26.7109375" style="12" bestFit="1" customWidth="1"/>
    <col min="6" max="7" width="7.7109375" customWidth="1"/>
    <col min="8" max="8" width="7" hidden="1" customWidth="1"/>
    <col min="9" max="9" width="11.42578125" hidden="1" customWidth="1"/>
    <col min="10" max="10" width="9" hidden="1" customWidth="1"/>
    <col min="11" max="11" width="9.7109375" hidden="1" customWidth="1"/>
    <col min="12" max="12" width="14.42578125" hidden="1" customWidth="1"/>
    <col min="13" max="13" width="7.7109375" hidden="1" customWidth="1"/>
    <col min="14" max="14" width="14.42578125" hidden="1" customWidth="1"/>
    <col min="15" max="15" width="10.85546875" bestFit="1" customWidth="1"/>
    <col min="16" max="16" width="16.85546875" customWidth="1"/>
    <col min="17" max="17" width="15.85546875" bestFit="1" customWidth="1"/>
    <col min="18" max="18" width="14.28515625" customWidth="1"/>
    <col min="19" max="19" width="10.85546875" customWidth="1"/>
    <col min="20" max="20" width="18.5703125" bestFit="1" customWidth="1"/>
    <col min="21" max="21" width="17" bestFit="1" customWidth="1"/>
    <col min="22" max="23" width="14.28515625" bestFit="1" customWidth="1"/>
  </cols>
  <sheetData>
    <row r="2" spans="2:23" ht="15.75" customHeight="1" x14ac:dyDescent="0.25">
      <c r="B2" s="46" t="s">
        <v>21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2:23" s="10" customFormat="1" ht="60" x14ac:dyDescent="0.25">
      <c r="B3" s="8" t="s">
        <v>0</v>
      </c>
      <c r="C3" s="8" t="s">
        <v>1</v>
      </c>
      <c r="D3" s="9" t="s">
        <v>12</v>
      </c>
      <c r="E3" s="9" t="s">
        <v>5</v>
      </c>
      <c r="F3" s="9" t="s">
        <v>52</v>
      </c>
      <c r="G3" s="9" t="s">
        <v>53</v>
      </c>
      <c r="H3" s="9" t="s">
        <v>16</v>
      </c>
      <c r="I3" s="9" t="s">
        <v>3</v>
      </c>
      <c r="J3" s="9" t="s">
        <v>4</v>
      </c>
      <c r="K3" s="9" t="s">
        <v>17</v>
      </c>
      <c r="L3" s="9" t="s">
        <v>18</v>
      </c>
      <c r="M3" s="9" t="s">
        <v>6</v>
      </c>
      <c r="N3" s="9" t="s">
        <v>8</v>
      </c>
      <c r="O3" s="9" t="s">
        <v>19</v>
      </c>
      <c r="P3" s="9" t="s">
        <v>13</v>
      </c>
      <c r="Q3" s="9" t="s">
        <v>9</v>
      </c>
      <c r="R3" s="9" t="s">
        <v>10</v>
      </c>
      <c r="S3" s="9" t="s">
        <v>15</v>
      </c>
      <c r="T3" s="9" t="s">
        <v>11</v>
      </c>
    </row>
    <row r="4" spans="2:23" ht="45" x14ac:dyDescent="0.25">
      <c r="B4" s="21">
        <v>1</v>
      </c>
      <c r="C4" s="21" t="s">
        <v>2</v>
      </c>
      <c r="D4" s="27" t="s">
        <v>26</v>
      </c>
      <c r="E4" s="32" t="s">
        <v>47</v>
      </c>
      <c r="F4" s="22">
        <v>10368</v>
      </c>
      <c r="G4" s="22">
        <f>F4*10.7639</f>
        <v>111600.1152</v>
      </c>
      <c r="H4" s="22">
        <v>35</v>
      </c>
      <c r="I4" s="21">
        <v>2011</v>
      </c>
      <c r="J4" s="21">
        <v>2022</v>
      </c>
      <c r="K4" s="21">
        <f>J4-I4</f>
        <v>11</v>
      </c>
      <c r="L4" s="21">
        <v>40</v>
      </c>
      <c r="M4" s="23">
        <v>0.1</v>
      </c>
      <c r="N4" s="24">
        <f>(1-M4)/L4</f>
        <v>2.2499999999999999E-2</v>
      </c>
      <c r="O4" s="25">
        <v>2000</v>
      </c>
      <c r="P4" s="34">
        <f>O4*G4</f>
        <v>223200230.40000001</v>
      </c>
      <c r="Q4" s="25">
        <f t="shared" ref="Q4:Q24" si="0">P4*N4*K4</f>
        <v>55242057.024000004</v>
      </c>
      <c r="R4" s="25">
        <f>MAX(P4-Q4,0)</f>
        <v>167958173.37599999</v>
      </c>
      <c r="S4" s="26">
        <v>0.05</v>
      </c>
      <c r="T4" s="25">
        <f>IF(R4&gt;M4*P4,R4*(1-S4),P4*M4)</f>
        <v>159560264.70719999</v>
      </c>
      <c r="U4" s="7">
        <f>T4/G4</f>
        <v>1429.75</v>
      </c>
      <c r="V4" s="1"/>
      <c r="W4" s="1"/>
    </row>
    <row r="5" spans="2:23" ht="45" x14ac:dyDescent="0.25">
      <c r="B5" s="21">
        <f>B4+1</f>
        <v>2</v>
      </c>
      <c r="C5" s="21" t="s">
        <v>2</v>
      </c>
      <c r="D5" s="27" t="s">
        <v>27</v>
      </c>
      <c r="E5" s="32" t="s">
        <v>47</v>
      </c>
      <c r="F5" s="22">
        <v>10368</v>
      </c>
      <c r="G5" s="22">
        <f t="shared" ref="G5:G24" si="1">F5*10.7639</f>
        <v>111600.1152</v>
      </c>
      <c r="H5" s="22">
        <v>35</v>
      </c>
      <c r="I5" s="21">
        <v>2011</v>
      </c>
      <c r="J5" s="21">
        <v>2022</v>
      </c>
      <c r="K5" s="21">
        <f t="shared" ref="K5:K24" si="2">J5-I5</f>
        <v>11</v>
      </c>
      <c r="L5" s="21">
        <v>40</v>
      </c>
      <c r="M5" s="23">
        <v>0.1</v>
      </c>
      <c r="N5" s="24">
        <f t="shared" ref="N5:N24" si="3">(1-M5)/L5</f>
        <v>2.2499999999999999E-2</v>
      </c>
      <c r="O5" s="25">
        <v>2000</v>
      </c>
      <c r="P5" s="34">
        <f t="shared" ref="P5:P23" si="4">O5*G5</f>
        <v>223200230.40000001</v>
      </c>
      <c r="Q5" s="25">
        <f t="shared" si="0"/>
        <v>55242057.024000004</v>
      </c>
      <c r="R5" s="25">
        <f t="shared" ref="R5:R24" si="5">MAX(P5-Q5,0)</f>
        <v>167958173.37599999</v>
      </c>
      <c r="S5" s="26">
        <v>0.05</v>
      </c>
      <c r="T5" s="25">
        <f t="shared" ref="T5:T24" si="6">IF(R5&gt;M5*P5,R5*(1-S5),P5*M5)</f>
        <v>159560264.70719999</v>
      </c>
      <c r="U5" s="7">
        <f t="shared" ref="U5:U24" si="7">T5/G5</f>
        <v>1429.75</v>
      </c>
      <c r="V5" s="1"/>
      <c r="W5" s="1"/>
    </row>
    <row r="6" spans="2:23" ht="45" x14ac:dyDescent="0.25">
      <c r="B6" s="21">
        <f t="shared" ref="B6:B23" si="8">B5+1</f>
        <v>3</v>
      </c>
      <c r="C6" s="21" t="s">
        <v>2</v>
      </c>
      <c r="D6" s="27" t="s">
        <v>28</v>
      </c>
      <c r="E6" s="32" t="s">
        <v>47</v>
      </c>
      <c r="F6" s="22">
        <v>10368</v>
      </c>
      <c r="G6" s="22">
        <f t="shared" si="1"/>
        <v>111600.1152</v>
      </c>
      <c r="H6" s="22">
        <v>35</v>
      </c>
      <c r="I6" s="21">
        <v>2011</v>
      </c>
      <c r="J6" s="21">
        <v>2022</v>
      </c>
      <c r="K6" s="21">
        <f t="shared" si="2"/>
        <v>11</v>
      </c>
      <c r="L6" s="21">
        <v>40</v>
      </c>
      <c r="M6" s="23">
        <v>0.1</v>
      </c>
      <c r="N6" s="24">
        <f t="shared" si="3"/>
        <v>2.2499999999999999E-2</v>
      </c>
      <c r="O6" s="25">
        <v>2000</v>
      </c>
      <c r="P6" s="34">
        <f t="shared" si="4"/>
        <v>223200230.40000001</v>
      </c>
      <c r="Q6" s="25">
        <f t="shared" si="0"/>
        <v>55242057.024000004</v>
      </c>
      <c r="R6" s="25">
        <f t="shared" si="5"/>
        <v>167958173.37599999</v>
      </c>
      <c r="S6" s="26">
        <v>0.05</v>
      </c>
      <c r="T6" s="25">
        <f t="shared" si="6"/>
        <v>159560264.70719999</v>
      </c>
      <c r="U6" s="7">
        <f t="shared" si="7"/>
        <v>1429.75</v>
      </c>
      <c r="V6" s="1"/>
      <c r="W6" s="1"/>
    </row>
    <row r="7" spans="2:23" x14ac:dyDescent="0.25">
      <c r="B7" s="21">
        <f t="shared" si="8"/>
        <v>4</v>
      </c>
      <c r="C7" s="21"/>
      <c r="D7" s="28" t="s">
        <v>29</v>
      </c>
      <c r="E7" s="2" t="s">
        <v>48</v>
      </c>
      <c r="F7" s="22">
        <v>3774.1427999999996</v>
      </c>
      <c r="G7" s="22">
        <f t="shared" si="1"/>
        <v>40624.495684919995</v>
      </c>
      <c r="H7" s="22">
        <v>12</v>
      </c>
      <c r="I7" s="21">
        <v>2011</v>
      </c>
      <c r="J7" s="21">
        <v>2022</v>
      </c>
      <c r="K7" s="21">
        <f t="shared" si="2"/>
        <v>11</v>
      </c>
      <c r="L7" s="21">
        <v>25</v>
      </c>
      <c r="M7" s="23">
        <v>0.1</v>
      </c>
      <c r="N7" s="24">
        <f t="shared" si="3"/>
        <v>3.6000000000000004E-2</v>
      </c>
      <c r="O7" s="25">
        <v>60</v>
      </c>
      <c r="P7" s="34">
        <f t="shared" si="4"/>
        <v>2437469.7410951997</v>
      </c>
      <c r="Q7" s="25">
        <f t="shared" si="0"/>
        <v>965238.01747369918</v>
      </c>
      <c r="R7" s="25">
        <f t="shared" si="5"/>
        <v>1472231.7236215007</v>
      </c>
      <c r="S7" s="26">
        <v>0.05</v>
      </c>
      <c r="T7" s="25">
        <f t="shared" si="6"/>
        <v>1398620.1374404256</v>
      </c>
      <c r="U7" s="7">
        <f t="shared" si="7"/>
        <v>34.427999999999997</v>
      </c>
      <c r="V7" s="1"/>
      <c r="W7" s="1"/>
    </row>
    <row r="8" spans="2:23" x14ac:dyDescent="0.25">
      <c r="B8" s="21">
        <f t="shared" si="8"/>
        <v>5</v>
      </c>
      <c r="C8" s="21"/>
      <c r="D8" s="28" t="s">
        <v>30</v>
      </c>
      <c r="E8" s="2" t="s">
        <v>48</v>
      </c>
      <c r="F8" s="22">
        <v>3738.7759999999998</v>
      </c>
      <c r="G8" s="22">
        <f t="shared" si="1"/>
        <v>40243.8109864</v>
      </c>
      <c r="H8" s="22">
        <v>12</v>
      </c>
      <c r="I8" s="21">
        <v>2011</v>
      </c>
      <c r="J8" s="21">
        <v>2022</v>
      </c>
      <c r="K8" s="21">
        <f t="shared" si="2"/>
        <v>11</v>
      </c>
      <c r="L8" s="21">
        <v>25</v>
      </c>
      <c r="M8" s="23">
        <v>0.1</v>
      </c>
      <c r="N8" s="24">
        <f t="shared" si="3"/>
        <v>3.6000000000000004E-2</v>
      </c>
      <c r="O8" s="25">
        <v>60</v>
      </c>
      <c r="P8" s="34">
        <f t="shared" si="4"/>
        <v>2414628.659184</v>
      </c>
      <c r="Q8" s="25">
        <f t="shared" si="0"/>
        <v>956192.9490368641</v>
      </c>
      <c r="R8" s="25">
        <f t="shared" si="5"/>
        <v>1458435.7101471359</v>
      </c>
      <c r="S8" s="26">
        <v>0.05</v>
      </c>
      <c r="T8" s="25">
        <f t="shared" si="6"/>
        <v>1385513.9246397791</v>
      </c>
      <c r="U8" s="7">
        <f t="shared" si="7"/>
        <v>34.427999999999997</v>
      </c>
      <c r="V8" s="1"/>
      <c r="W8" s="1"/>
    </row>
    <row r="9" spans="2:23" x14ac:dyDescent="0.25">
      <c r="B9" s="21">
        <f t="shared" si="8"/>
        <v>6</v>
      </c>
      <c r="C9" s="21"/>
      <c r="D9" s="28" t="s">
        <v>31</v>
      </c>
      <c r="E9" s="2" t="s">
        <v>48</v>
      </c>
      <c r="F9" s="22">
        <v>3774.1427999999996</v>
      </c>
      <c r="G9" s="22">
        <f t="shared" si="1"/>
        <v>40624.495684919995</v>
      </c>
      <c r="H9" s="22">
        <v>12</v>
      </c>
      <c r="I9" s="21">
        <v>2011</v>
      </c>
      <c r="J9" s="21">
        <v>2022</v>
      </c>
      <c r="K9" s="21">
        <f t="shared" si="2"/>
        <v>11</v>
      </c>
      <c r="L9" s="21">
        <v>25</v>
      </c>
      <c r="M9" s="23">
        <v>0.1</v>
      </c>
      <c r="N9" s="24">
        <f t="shared" si="3"/>
        <v>3.6000000000000004E-2</v>
      </c>
      <c r="O9" s="25">
        <v>60</v>
      </c>
      <c r="P9" s="34">
        <f t="shared" si="4"/>
        <v>2437469.7410951997</v>
      </c>
      <c r="Q9" s="25">
        <f t="shared" si="0"/>
        <v>965238.01747369918</v>
      </c>
      <c r="R9" s="25">
        <f t="shared" si="5"/>
        <v>1472231.7236215007</v>
      </c>
      <c r="S9" s="26">
        <v>0.05</v>
      </c>
      <c r="T9" s="25">
        <f t="shared" si="6"/>
        <v>1398620.1374404256</v>
      </c>
      <c r="U9" s="7">
        <f t="shared" si="7"/>
        <v>34.427999999999997</v>
      </c>
      <c r="V9" s="1"/>
      <c r="W9" s="1"/>
    </row>
    <row r="10" spans="2:23" x14ac:dyDescent="0.25">
      <c r="B10" s="21">
        <f t="shared" si="8"/>
        <v>7</v>
      </c>
      <c r="C10" s="21"/>
      <c r="D10" s="28" t="s">
        <v>32</v>
      </c>
      <c r="E10" s="2" t="s">
        <v>48</v>
      </c>
      <c r="F10" s="22">
        <v>3738.7759999999998</v>
      </c>
      <c r="G10" s="22">
        <f t="shared" si="1"/>
        <v>40243.8109864</v>
      </c>
      <c r="H10" s="22">
        <v>12</v>
      </c>
      <c r="I10" s="21">
        <v>2011</v>
      </c>
      <c r="J10" s="21">
        <v>2022</v>
      </c>
      <c r="K10" s="21">
        <f t="shared" si="2"/>
        <v>11</v>
      </c>
      <c r="L10" s="21">
        <v>25</v>
      </c>
      <c r="M10" s="23">
        <v>0.1</v>
      </c>
      <c r="N10" s="24">
        <f t="shared" si="3"/>
        <v>3.6000000000000004E-2</v>
      </c>
      <c r="O10" s="25">
        <v>60</v>
      </c>
      <c r="P10" s="34">
        <f t="shared" si="4"/>
        <v>2414628.659184</v>
      </c>
      <c r="Q10" s="25">
        <f t="shared" si="0"/>
        <v>956192.9490368641</v>
      </c>
      <c r="R10" s="25">
        <f t="shared" si="5"/>
        <v>1458435.7101471359</v>
      </c>
      <c r="S10" s="26">
        <v>0.05</v>
      </c>
      <c r="T10" s="25">
        <f t="shared" si="6"/>
        <v>1385513.9246397791</v>
      </c>
      <c r="U10" s="7">
        <f t="shared" si="7"/>
        <v>34.427999999999997</v>
      </c>
      <c r="V10" s="1"/>
      <c r="W10" s="1"/>
    </row>
    <row r="11" spans="2:23" x14ac:dyDescent="0.25">
      <c r="B11" s="21">
        <f t="shared" si="8"/>
        <v>8</v>
      </c>
      <c r="C11" s="21"/>
      <c r="D11" s="28" t="s">
        <v>33</v>
      </c>
      <c r="E11" s="2" t="s">
        <v>48</v>
      </c>
      <c r="F11" s="22">
        <v>13568</v>
      </c>
      <c r="G11" s="22">
        <f t="shared" si="1"/>
        <v>146044.59519999998</v>
      </c>
      <c r="H11" s="22">
        <v>12</v>
      </c>
      <c r="I11" s="21">
        <v>2011</v>
      </c>
      <c r="J11" s="21">
        <v>2022</v>
      </c>
      <c r="K11" s="21">
        <f t="shared" si="2"/>
        <v>11</v>
      </c>
      <c r="L11" s="21">
        <v>25</v>
      </c>
      <c r="M11" s="23">
        <v>0.1</v>
      </c>
      <c r="N11" s="24">
        <f t="shared" si="3"/>
        <v>3.6000000000000004E-2</v>
      </c>
      <c r="O11" s="25">
        <v>60</v>
      </c>
      <c r="P11" s="34">
        <f t="shared" si="4"/>
        <v>8762675.7119999994</v>
      </c>
      <c r="Q11" s="25">
        <f t="shared" si="0"/>
        <v>3470019.581952</v>
      </c>
      <c r="R11" s="25">
        <f t="shared" si="5"/>
        <v>5292656.1300479993</v>
      </c>
      <c r="S11" s="26">
        <v>0.05</v>
      </c>
      <c r="T11" s="25">
        <f t="shared" si="6"/>
        <v>5028023.3235455994</v>
      </c>
      <c r="U11" s="7">
        <f t="shared" si="7"/>
        <v>34.427999999999997</v>
      </c>
      <c r="V11" s="1"/>
      <c r="W11" s="1"/>
    </row>
    <row r="12" spans="2:23" ht="45" x14ac:dyDescent="0.25">
      <c r="B12" s="21">
        <f t="shared" si="8"/>
        <v>9</v>
      </c>
      <c r="C12" s="21"/>
      <c r="D12" s="29" t="s">
        <v>34</v>
      </c>
      <c r="E12" s="2" t="s">
        <v>48</v>
      </c>
      <c r="F12" s="22">
        <v>13689</v>
      </c>
      <c r="G12" s="22">
        <f t="shared" si="1"/>
        <v>147347.02710000001</v>
      </c>
      <c r="H12" s="22">
        <v>12</v>
      </c>
      <c r="I12" s="21">
        <v>2011</v>
      </c>
      <c r="J12" s="21">
        <v>2022</v>
      </c>
      <c r="K12" s="21">
        <f t="shared" si="2"/>
        <v>11</v>
      </c>
      <c r="L12" s="21">
        <v>25</v>
      </c>
      <c r="M12" s="23">
        <v>0.1</v>
      </c>
      <c r="N12" s="24">
        <f t="shared" si="3"/>
        <v>3.6000000000000004E-2</v>
      </c>
      <c r="O12" s="25">
        <v>60</v>
      </c>
      <c r="P12" s="34">
        <f t="shared" si="4"/>
        <v>8840821.6260000002</v>
      </c>
      <c r="Q12" s="25">
        <f t="shared" si="0"/>
        <v>3500965.3638960007</v>
      </c>
      <c r="R12" s="25">
        <f t="shared" si="5"/>
        <v>5339856.262103999</v>
      </c>
      <c r="S12" s="26">
        <v>0.05</v>
      </c>
      <c r="T12" s="25">
        <f t="shared" si="6"/>
        <v>5072863.4489987986</v>
      </c>
      <c r="U12" s="7">
        <f t="shared" si="7"/>
        <v>34.42799999999999</v>
      </c>
      <c r="V12" s="1"/>
      <c r="W12" s="1"/>
    </row>
    <row r="13" spans="2:23" ht="45" x14ac:dyDescent="0.25">
      <c r="B13" s="21">
        <f t="shared" si="8"/>
        <v>10</v>
      </c>
      <c r="C13" s="21"/>
      <c r="D13" s="30" t="s">
        <v>35</v>
      </c>
      <c r="E13" s="32" t="s">
        <v>49</v>
      </c>
      <c r="F13" s="22">
        <v>525.68249999999989</v>
      </c>
      <c r="G13" s="22">
        <f t="shared" si="1"/>
        <v>5658.3938617499989</v>
      </c>
      <c r="H13" s="22">
        <v>12</v>
      </c>
      <c r="I13" s="21">
        <v>2011</v>
      </c>
      <c r="J13" s="21">
        <v>2022</v>
      </c>
      <c r="K13" s="21">
        <f t="shared" si="2"/>
        <v>11</v>
      </c>
      <c r="L13" s="21">
        <v>60</v>
      </c>
      <c r="M13" s="23">
        <v>0.1</v>
      </c>
      <c r="N13" s="24">
        <f t="shared" si="3"/>
        <v>1.5000000000000001E-2</v>
      </c>
      <c r="O13" s="25">
        <v>1800</v>
      </c>
      <c r="P13" s="34">
        <f t="shared" si="4"/>
        <v>10185108.951149998</v>
      </c>
      <c r="Q13" s="25">
        <f t="shared" si="0"/>
        <v>1680542.9769397499</v>
      </c>
      <c r="R13" s="25">
        <f t="shared" si="5"/>
        <v>8504565.9742102474</v>
      </c>
      <c r="S13" s="26">
        <v>0.05</v>
      </c>
      <c r="T13" s="25">
        <f t="shared" si="6"/>
        <v>8079337.6754997345</v>
      </c>
      <c r="U13" s="7">
        <f t="shared" si="7"/>
        <v>1427.8499999999997</v>
      </c>
      <c r="V13" s="1"/>
      <c r="W13" s="1"/>
    </row>
    <row r="14" spans="2:23" ht="45" x14ac:dyDescent="0.25">
      <c r="B14" s="21">
        <f t="shared" si="8"/>
        <v>11</v>
      </c>
      <c r="C14" s="21"/>
      <c r="D14" s="30" t="s">
        <v>36</v>
      </c>
      <c r="E14" s="32" t="s">
        <v>49</v>
      </c>
      <c r="F14" s="22">
        <v>64.05749999999999</v>
      </c>
      <c r="G14" s="22">
        <f t="shared" si="1"/>
        <v>689.50852424999982</v>
      </c>
      <c r="H14" s="22">
        <v>12</v>
      </c>
      <c r="I14" s="21">
        <v>2011</v>
      </c>
      <c r="J14" s="21">
        <v>2022</v>
      </c>
      <c r="K14" s="21">
        <f t="shared" si="2"/>
        <v>11</v>
      </c>
      <c r="L14" s="21">
        <v>60</v>
      </c>
      <c r="M14" s="23">
        <v>0.1</v>
      </c>
      <c r="N14" s="24">
        <f t="shared" si="3"/>
        <v>1.5000000000000001E-2</v>
      </c>
      <c r="O14" s="25">
        <v>1800</v>
      </c>
      <c r="P14" s="34">
        <f t="shared" si="4"/>
        <v>1241115.3436499997</v>
      </c>
      <c r="Q14" s="25">
        <f t="shared" si="0"/>
        <v>204784.03170224995</v>
      </c>
      <c r="R14" s="25">
        <f t="shared" si="5"/>
        <v>1036331.3119477497</v>
      </c>
      <c r="S14" s="26">
        <v>0.05</v>
      </c>
      <c r="T14" s="25">
        <f t="shared" si="6"/>
        <v>984514.7463503622</v>
      </c>
      <c r="U14" s="7">
        <f t="shared" si="7"/>
        <v>1427.85</v>
      </c>
      <c r="V14" s="1"/>
      <c r="W14" s="1"/>
    </row>
    <row r="15" spans="2:23" ht="45" x14ac:dyDescent="0.25">
      <c r="B15" s="21">
        <f t="shared" si="8"/>
        <v>12</v>
      </c>
      <c r="C15" s="21"/>
      <c r="D15" s="30" t="s">
        <v>37</v>
      </c>
      <c r="E15" s="32" t="s">
        <v>49</v>
      </c>
      <c r="F15" s="22">
        <v>92.16</v>
      </c>
      <c r="G15" s="22">
        <f t="shared" si="1"/>
        <v>992.00102399999992</v>
      </c>
      <c r="H15" s="22">
        <v>12</v>
      </c>
      <c r="I15" s="21">
        <v>2011</v>
      </c>
      <c r="J15" s="21">
        <v>2022</v>
      </c>
      <c r="K15" s="21">
        <f t="shared" si="2"/>
        <v>11</v>
      </c>
      <c r="L15" s="21">
        <v>60</v>
      </c>
      <c r="M15" s="23">
        <v>0.1</v>
      </c>
      <c r="N15" s="24">
        <f t="shared" si="3"/>
        <v>1.5000000000000001E-2</v>
      </c>
      <c r="O15" s="25">
        <v>1500</v>
      </c>
      <c r="P15" s="34">
        <f t="shared" si="4"/>
        <v>1488001.5359999998</v>
      </c>
      <c r="Q15" s="25">
        <f t="shared" si="0"/>
        <v>245520.25344</v>
      </c>
      <c r="R15" s="25">
        <f t="shared" si="5"/>
        <v>1242481.2825599997</v>
      </c>
      <c r="S15" s="26">
        <v>0.05</v>
      </c>
      <c r="T15" s="25">
        <f t="shared" si="6"/>
        <v>1180357.2184319997</v>
      </c>
      <c r="U15" s="7">
        <f t="shared" si="7"/>
        <v>1189.8749999999998</v>
      </c>
      <c r="V15" s="1"/>
      <c r="W15" s="1"/>
    </row>
    <row r="16" spans="2:23" ht="45" x14ac:dyDescent="0.25">
      <c r="B16" s="21">
        <f t="shared" si="8"/>
        <v>13</v>
      </c>
      <c r="C16" s="21"/>
      <c r="D16" s="30" t="s">
        <v>38</v>
      </c>
      <c r="E16" s="32" t="s">
        <v>49</v>
      </c>
      <c r="F16" s="22">
        <v>832.6</v>
      </c>
      <c r="G16" s="22">
        <f t="shared" si="1"/>
        <v>8962.0231399999993</v>
      </c>
      <c r="H16" s="22">
        <v>12</v>
      </c>
      <c r="I16" s="21">
        <v>2011</v>
      </c>
      <c r="J16" s="21">
        <v>2022</v>
      </c>
      <c r="K16" s="21">
        <f t="shared" si="2"/>
        <v>11</v>
      </c>
      <c r="L16" s="21">
        <v>60</v>
      </c>
      <c r="M16" s="23">
        <v>0.1</v>
      </c>
      <c r="N16" s="24">
        <f t="shared" si="3"/>
        <v>1.5000000000000001E-2</v>
      </c>
      <c r="O16" s="25">
        <v>1500</v>
      </c>
      <c r="P16" s="34">
        <f t="shared" si="4"/>
        <v>13443034.709999999</v>
      </c>
      <c r="Q16" s="25">
        <f t="shared" si="0"/>
        <v>2218100.7271499997</v>
      </c>
      <c r="R16" s="25">
        <f t="shared" si="5"/>
        <v>11224933.98285</v>
      </c>
      <c r="S16" s="26">
        <v>0.1</v>
      </c>
      <c r="T16" s="25">
        <f t="shared" si="6"/>
        <v>10102440.584565001</v>
      </c>
      <c r="U16" s="7">
        <f t="shared" si="7"/>
        <v>1127.2500000000002</v>
      </c>
      <c r="V16" s="1"/>
      <c r="W16" s="1"/>
    </row>
    <row r="17" spans="2:23" ht="45" x14ac:dyDescent="0.25">
      <c r="B17" s="21">
        <f t="shared" si="8"/>
        <v>14</v>
      </c>
      <c r="C17" s="21"/>
      <c r="D17" s="30" t="s">
        <v>39</v>
      </c>
      <c r="E17" s="32" t="s">
        <v>49</v>
      </c>
      <c r="F17" s="22">
        <v>18.489999999999998</v>
      </c>
      <c r="G17" s="22">
        <f t="shared" si="1"/>
        <v>199.02451099999996</v>
      </c>
      <c r="H17" s="22">
        <v>12</v>
      </c>
      <c r="I17" s="21">
        <v>2011</v>
      </c>
      <c r="J17" s="21">
        <v>2022</v>
      </c>
      <c r="K17" s="21">
        <f t="shared" si="2"/>
        <v>11</v>
      </c>
      <c r="L17" s="21">
        <v>60</v>
      </c>
      <c r="M17" s="23">
        <v>0.1</v>
      </c>
      <c r="N17" s="24">
        <f t="shared" si="3"/>
        <v>1.5000000000000001E-2</v>
      </c>
      <c r="O17" s="25">
        <v>1500</v>
      </c>
      <c r="P17" s="34">
        <f t="shared" si="4"/>
        <v>298536.76649999997</v>
      </c>
      <c r="Q17" s="25">
        <f t="shared" si="0"/>
        <v>49258.566472499995</v>
      </c>
      <c r="R17" s="25">
        <f t="shared" si="5"/>
        <v>249278.20002749999</v>
      </c>
      <c r="S17" s="26">
        <v>0.1</v>
      </c>
      <c r="T17" s="25">
        <f t="shared" si="6"/>
        <v>224350.38002474999</v>
      </c>
      <c r="U17" s="7">
        <f t="shared" si="7"/>
        <v>1127.2500000000002</v>
      </c>
      <c r="V17" s="1"/>
      <c r="W17" s="1"/>
    </row>
    <row r="18" spans="2:23" ht="45" x14ac:dyDescent="0.25">
      <c r="B18" s="21">
        <f t="shared" si="8"/>
        <v>15</v>
      </c>
      <c r="C18" s="21"/>
      <c r="D18" s="30" t="s">
        <v>40</v>
      </c>
      <c r="E18" s="32" t="s">
        <v>49</v>
      </c>
      <c r="F18" s="22">
        <v>18.489999999999998</v>
      </c>
      <c r="G18" s="22">
        <f t="shared" si="1"/>
        <v>199.02451099999996</v>
      </c>
      <c r="H18" s="22">
        <v>12</v>
      </c>
      <c r="I18" s="21">
        <v>2011</v>
      </c>
      <c r="J18" s="21">
        <v>2022</v>
      </c>
      <c r="K18" s="21">
        <f t="shared" si="2"/>
        <v>11</v>
      </c>
      <c r="L18" s="21">
        <v>60</v>
      </c>
      <c r="M18" s="23">
        <v>0.1</v>
      </c>
      <c r="N18" s="24">
        <f t="shared" si="3"/>
        <v>1.5000000000000001E-2</v>
      </c>
      <c r="O18" s="25">
        <v>1500</v>
      </c>
      <c r="P18" s="34">
        <f t="shared" si="4"/>
        <v>298536.76649999997</v>
      </c>
      <c r="Q18" s="25">
        <f t="shared" si="0"/>
        <v>49258.566472499995</v>
      </c>
      <c r="R18" s="25">
        <f t="shared" si="5"/>
        <v>249278.20002749999</v>
      </c>
      <c r="S18" s="26">
        <v>0.1</v>
      </c>
      <c r="T18" s="25">
        <f t="shared" si="6"/>
        <v>224350.38002474999</v>
      </c>
      <c r="U18" s="7">
        <f t="shared" si="7"/>
        <v>1127.2500000000002</v>
      </c>
      <c r="V18" s="1"/>
      <c r="W18" s="1"/>
    </row>
    <row r="19" spans="2:23" ht="45" x14ac:dyDescent="0.25">
      <c r="B19" s="21">
        <f t="shared" si="8"/>
        <v>16</v>
      </c>
      <c r="C19" s="21"/>
      <c r="D19" s="30" t="s">
        <v>41</v>
      </c>
      <c r="E19" s="32" t="s">
        <v>49</v>
      </c>
      <c r="F19" s="22">
        <v>203.73999999999998</v>
      </c>
      <c r="G19" s="22">
        <f t="shared" si="1"/>
        <v>2193.0369859999996</v>
      </c>
      <c r="H19" s="22">
        <v>12</v>
      </c>
      <c r="I19" s="21">
        <v>2011</v>
      </c>
      <c r="J19" s="21">
        <v>2022</v>
      </c>
      <c r="K19" s="21">
        <f t="shared" si="2"/>
        <v>11</v>
      </c>
      <c r="L19" s="21">
        <v>60</v>
      </c>
      <c r="M19" s="23">
        <v>0.1</v>
      </c>
      <c r="N19" s="24">
        <f t="shared" si="3"/>
        <v>1.5000000000000001E-2</v>
      </c>
      <c r="O19" s="25">
        <v>1500</v>
      </c>
      <c r="P19" s="34">
        <f t="shared" si="4"/>
        <v>3289555.4789999994</v>
      </c>
      <c r="Q19" s="25">
        <f t="shared" si="0"/>
        <v>542776.6540349999</v>
      </c>
      <c r="R19" s="25">
        <f t="shared" si="5"/>
        <v>2746778.8249649992</v>
      </c>
      <c r="S19" s="26">
        <v>0.1</v>
      </c>
      <c r="T19" s="25">
        <f t="shared" si="6"/>
        <v>2472100.9424684993</v>
      </c>
      <c r="U19" s="7">
        <f t="shared" si="7"/>
        <v>1127.2499999999998</v>
      </c>
      <c r="V19" s="1"/>
      <c r="W19" s="1"/>
    </row>
    <row r="20" spans="2:23" ht="45" x14ac:dyDescent="0.25">
      <c r="B20" s="21">
        <f t="shared" si="8"/>
        <v>17</v>
      </c>
      <c r="C20" s="21"/>
      <c r="D20" s="30" t="s">
        <v>42</v>
      </c>
      <c r="E20" s="32" t="s">
        <v>49</v>
      </c>
      <c r="F20" s="22">
        <v>110.66</v>
      </c>
      <c r="G20" s="22">
        <f t="shared" si="1"/>
        <v>1191.1331739999998</v>
      </c>
      <c r="H20" s="22">
        <v>12</v>
      </c>
      <c r="I20" s="21">
        <v>2011</v>
      </c>
      <c r="J20" s="21">
        <v>2022</v>
      </c>
      <c r="K20" s="21">
        <f t="shared" si="2"/>
        <v>11</v>
      </c>
      <c r="L20" s="21">
        <v>60</v>
      </c>
      <c r="M20" s="23">
        <v>0.1</v>
      </c>
      <c r="N20" s="24">
        <f t="shared" si="3"/>
        <v>1.5000000000000001E-2</v>
      </c>
      <c r="O20" s="25">
        <v>1500</v>
      </c>
      <c r="P20" s="34">
        <f t="shared" si="4"/>
        <v>1786699.7609999997</v>
      </c>
      <c r="Q20" s="25">
        <f t="shared" si="0"/>
        <v>294805.46056499996</v>
      </c>
      <c r="R20" s="25">
        <f t="shared" si="5"/>
        <v>1491894.3004349996</v>
      </c>
      <c r="S20" s="26">
        <v>0.1</v>
      </c>
      <c r="T20" s="25">
        <f t="shared" si="6"/>
        <v>1342704.8703914997</v>
      </c>
      <c r="U20" s="7">
        <f t="shared" si="7"/>
        <v>1127.25</v>
      </c>
      <c r="V20" s="1"/>
      <c r="W20" s="1"/>
    </row>
    <row r="21" spans="2:23" x14ac:dyDescent="0.25">
      <c r="B21" s="21">
        <f t="shared" si="8"/>
        <v>18</v>
      </c>
      <c r="C21" s="21"/>
      <c r="D21" s="28" t="s">
        <v>43</v>
      </c>
      <c r="E21" s="33" t="s">
        <v>50</v>
      </c>
      <c r="F21" s="22">
        <v>222.75</v>
      </c>
      <c r="G21" s="22">
        <f t="shared" si="1"/>
        <v>2397.6587249999998</v>
      </c>
      <c r="H21" s="22">
        <v>12</v>
      </c>
      <c r="I21" s="21">
        <v>2011</v>
      </c>
      <c r="J21" s="21">
        <v>2022</v>
      </c>
      <c r="K21" s="21">
        <f t="shared" si="2"/>
        <v>11</v>
      </c>
      <c r="L21" s="21">
        <v>60</v>
      </c>
      <c r="M21" s="23">
        <v>0.1</v>
      </c>
      <c r="N21" s="24">
        <f t="shared" si="3"/>
        <v>1.5000000000000001E-2</v>
      </c>
      <c r="O21" s="25">
        <v>1400</v>
      </c>
      <c r="P21" s="34">
        <f t="shared" si="4"/>
        <v>3356722.2149999999</v>
      </c>
      <c r="Q21" s="25">
        <f t="shared" si="0"/>
        <v>553859.16547500005</v>
      </c>
      <c r="R21" s="25">
        <f t="shared" si="5"/>
        <v>2802863.0495249997</v>
      </c>
      <c r="S21" s="26">
        <v>0.05</v>
      </c>
      <c r="T21" s="25">
        <f t="shared" si="6"/>
        <v>2662719.8970487495</v>
      </c>
      <c r="U21" s="7">
        <f t="shared" si="7"/>
        <v>1110.55</v>
      </c>
      <c r="V21" s="1"/>
      <c r="W21" s="1"/>
    </row>
    <row r="22" spans="2:23" x14ac:dyDescent="0.25">
      <c r="B22" s="21">
        <f t="shared" si="8"/>
        <v>19</v>
      </c>
      <c r="C22" s="21"/>
      <c r="D22" s="28" t="s">
        <v>44</v>
      </c>
      <c r="E22" s="33" t="s">
        <v>50</v>
      </c>
      <c r="F22" s="22">
        <v>630</v>
      </c>
      <c r="G22" s="22">
        <f t="shared" si="1"/>
        <v>6781.2569999999996</v>
      </c>
      <c r="H22" s="22">
        <v>5</v>
      </c>
      <c r="I22" s="21">
        <v>2011</v>
      </c>
      <c r="J22" s="21">
        <v>2022</v>
      </c>
      <c r="K22" s="21">
        <f t="shared" si="2"/>
        <v>11</v>
      </c>
      <c r="L22" s="21">
        <v>60</v>
      </c>
      <c r="M22" s="23">
        <v>0.1</v>
      </c>
      <c r="N22" s="24">
        <f t="shared" si="3"/>
        <v>1.5000000000000001E-2</v>
      </c>
      <c r="O22" s="25">
        <v>1400</v>
      </c>
      <c r="P22" s="34">
        <f t="shared" si="4"/>
        <v>9493759.7999999989</v>
      </c>
      <c r="Q22" s="25">
        <f t="shared" si="0"/>
        <v>1566470.3670000001</v>
      </c>
      <c r="R22" s="25">
        <f t="shared" si="5"/>
        <v>7927289.4329999983</v>
      </c>
      <c r="S22" s="26">
        <v>0.05</v>
      </c>
      <c r="T22" s="25">
        <f t="shared" si="6"/>
        <v>7530924.9613499977</v>
      </c>
      <c r="U22" s="7">
        <f t="shared" si="7"/>
        <v>1110.5499999999997</v>
      </c>
      <c r="V22" s="1"/>
      <c r="W22" s="1"/>
    </row>
    <row r="23" spans="2:23" ht="45" x14ac:dyDescent="0.25">
      <c r="B23" s="21">
        <f t="shared" si="8"/>
        <v>20</v>
      </c>
      <c r="C23" s="21"/>
      <c r="D23" s="31" t="s">
        <v>45</v>
      </c>
      <c r="E23" s="32" t="s">
        <v>49</v>
      </c>
      <c r="F23" s="22">
        <v>16.079999999999998</v>
      </c>
      <c r="G23" s="22">
        <f t="shared" si="1"/>
        <v>173.08351199999998</v>
      </c>
      <c r="H23" s="22">
        <v>0</v>
      </c>
      <c r="I23" s="21">
        <v>2011</v>
      </c>
      <c r="J23" s="21">
        <v>2022</v>
      </c>
      <c r="K23" s="21">
        <f t="shared" si="2"/>
        <v>11</v>
      </c>
      <c r="L23" s="21">
        <v>40</v>
      </c>
      <c r="M23" s="23">
        <v>0.1</v>
      </c>
      <c r="N23" s="24">
        <f t="shared" si="3"/>
        <v>2.2499999999999999E-2</v>
      </c>
      <c r="O23" s="25">
        <v>1100</v>
      </c>
      <c r="P23" s="34">
        <f t="shared" si="4"/>
        <v>190391.86319999999</v>
      </c>
      <c r="Q23" s="25">
        <f t="shared" si="0"/>
        <v>47121.986142000002</v>
      </c>
      <c r="R23" s="25">
        <f t="shared" si="5"/>
        <v>143269.87705799998</v>
      </c>
      <c r="S23" s="26">
        <v>0.05</v>
      </c>
      <c r="T23" s="25">
        <f t="shared" si="6"/>
        <v>136106.38320509999</v>
      </c>
      <c r="U23" s="7">
        <f t="shared" si="7"/>
        <v>786.36250000000007</v>
      </c>
      <c r="V23" s="1"/>
      <c r="W23" s="1"/>
    </row>
    <row r="24" spans="2:23" ht="30" x14ac:dyDescent="0.25">
      <c r="B24" s="21" t="e">
        <f>#REF!+1</f>
        <v>#REF!</v>
      </c>
      <c r="C24" s="21"/>
      <c r="D24" s="29" t="s">
        <v>46</v>
      </c>
      <c r="E24" s="2" t="s">
        <v>51</v>
      </c>
      <c r="F24" s="22">
        <v>29645.98</v>
      </c>
      <c r="G24" s="22">
        <f t="shared" si="1"/>
        <v>319106.364122</v>
      </c>
      <c r="H24" s="22">
        <v>0</v>
      </c>
      <c r="I24" s="21">
        <v>2011</v>
      </c>
      <c r="J24" s="21">
        <v>2022</v>
      </c>
      <c r="K24" s="21">
        <f t="shared" si="2"/>
        <v>11</v>
      </c>
      <c r="L24" s="21">
        <v>25</v>
      </c>
      <c r="M24" s="23">
        <v>0.1</v>
      </c>
      <c r="N24" s="24">
        <f t="shared" si="3"/>
        <v>3.6000000000000004E-2</v>
      </c>
      <c r="O24" s="25">
        <v>300</v>
      </c>
      <c r="P24" s="34">
        <f>O24*G24</f>
        <v>95731909.236599997</v>
      </c>
      <c r="Q24" s="25">
        <f t="shared" si="0"/>
        <v>37909836.057693601</v>
      </c>
      <c r="R24" s="25">
        <f t="shared" si="5"/>
        <v>57822073.178906396</v>
      </c>
      <c r="S24" s="26">
        <v>0.05</v>
      </c>
      <c r="T24" s="25">
        <f t="shared" si="6"/>
        <v>54930969.519961074</v>
      </c>
      <c r="U24" s="7">
        <f t="shared" si="7"/>
        <v>172.14</v>
      </c>
      <c r="V24" s="1"/>
      <c r="W24" s="1"/>
    </row>
    <row r="25" spans="2:23" x14ac:dyDescent="0.25">
      <c r="B25" s="49" t="s">
        <v>7</v>
      </c>
      <c r="C25" s="49"/>
      <c r="D25" s="49"/>
      <c r="E25" s="49"/>
      <c r="F25" s="11"/>
      <c r="G25" s="11"/>
      <c r="H25" s="6"/>
      <c r="I25" s="49"/>
      <c r="J25" s="49"/>
      <c r="K25" s="49"/>
      <c r="L25" s="49"/>
      <c r="M25" s="49"/>
      <c r="N25" s="49"/>
      <c r="O25" s="49"/>
      <c r="P25" s="4">
        <f>SUM(P4:P4)</f>
        <v>223200230.40000001</v>
      </c>
      <c r="Q25" s="4">
        <f>SUM(Q4:Q24)</f>
        <v>221902352.76395679</v>
      </c>
      <c r="R25" s="4">
        <f>SUM(R4:R4)</f>
        <v>167958173.37599999</v>
      </c>
      <c r="S25" s="4"/>
      <c r="T25" s="4">
        <f>SUM(T4:T24)</f>
        <v>584220826.57762635</v>
      </c>
      <c r="U25" s="7"/>
    </row>
    <row r="26" spans="2:23" x14ac:dyDescent="0.25">
      <c r="B26" s="51" t="s">
        <v>20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7"/>
    </row>
    <row r="27" spans="2:23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7"/>
    </row>
    <row r="28" spans="2:23" x14ac:dyDescent="0.25">
      <c r="B28" s="50" t="s">
        <v>25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7"/>
    </row>
    <row r="29" spans="2:23" x14ac:dyDescent="0.25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4"/>
      <c r="U29" s="7"/>
    </row>
    <row r="30" spans="2:23" x14ac:dyDescent="0.25">
      <c r="B30" s="45" t="s">
        <v>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7"/>
    </row>
    <row r="31" spans="2:23" x14ac:dyDescent="0.25">
      <c r="U31" s="7"/>
    </row>
    <row r="32" spans="2:23" x14ac:dyDescent="0.25">
      <c r="U32" s="7"/>
    </row>
    <row r="33" spans="5:23" x14ac:dyDescent="0.25">
      <c r="S33" t="s">
        <v>54</v>
      </c>
      <c r="T33">
        <v>3850</v>
      </c>
      <c r="U33" s="7">
        <f>T33*632</f>
        <v>2433200</v>
      </c>
    </row>
    <row r="34" spans="5:23" x14ac:dyDescent="0.25">
      <c r="S34" t="s">
        <v>72</v>
      </c>
      <c r="T34" s="42">
        <f>U34*4046.85</f>
        <v>490842.43650000001</v>
      </c>
      <c r="U34">
        <v>121.29</v>
      </c>
    </row>
    <row r="35" spans="5:23" x14ac:dyDescent="0.25">
      <c r="S35" t="s">
        <v>70</v>
      </c>
      <c r="T35" s="41">
        <f>T34*T33</f>
        <v>1889743380.5250001</v>
      </c>
      <c r="U35" s="7"/>
    </row>
    <row r="36" spans="5:23" x14ac:dyDescent="0.25">
      <c r="P36" s="18"/>
      <c r="Q36" s="7"/>
      <c r="S36" t="s">
        <v>55</v>
      </c>
      <c r="T36" s="41">
        <f>T25</f>
        <v>584220826.57762635</v>
      </c>
      <c r="U36" s="7"/>
    </row>
    <row r="37" spans="5:23" x14ac:dyDescent="0.25">
      <c r="K37" s="18"/>
      <c r="L37" s="3"/>
      <c r="N37" s="7"/>
      <c r="P37" s="18"/>
      <c r="Q37" s="7"/>
      <c r="S37" t="s">
        <v>56</v>
      </c>
      <c r="T37" s="41">
        <f>Sheet3!H9</f>
        <v>22561206.800000001</v>
      </c>
      <c r="U37" s="7"/>
    </row>
    <row r="38" spans="5:23" x14ac:dyDescent="0.25">
      <c r="K38" s="18"/>
      <c r="L38" s="3"/>
      <c r="P38" s="18"/>
      <c r="Q38" s="7"/>
      <c r="S38" t="s">
        <v>71</v>
      </c>
      <c r="T38" s="41">
        <f>SUM(T35:T37)</f>
        <v>2496525413.9026265</v>
      </c>
      <c r="U38" s="7"/>
    </row>
    <row r="39" spans="5:23" x14ac:dyDescent="0.25">
      <c r="K39" s="18"/>
      <c r="L39" s="3"/>
      <c r="P39" s="18"/>
      <c r="Q39" s="3"/>
      <c r="U39" s="7"/>
    </row>
    <row r="40" spans="5:23" x14ac:dyDescent="0.25">
      <c r="U40" s="7"/>
    </row>
    <row r="41" spans="5:23" x14ac:dyDescent="0.25">
      <c r="U41" s="7"/>
    </row>
    <row r="42" spans="5:23" x14ac:dyDescent="0.25">
      <c r="E42" s="19"/>
    </row>
    <row r="43" spans="5:23" x14ac:dyDescent="0.25">
      <c r="E43" s="20"/>
      <c r="U43" s="5"/>
      <c r="V43" s="3"/>
      <c r="W43" s="3"/>
    </row>
    <row r="44" spans="5:23" x14ac:dyDescent="0.25">
      <c r="K44" s="17"/>
      <c r="P44" s="16"/>
    </row>
    <row r="52" ht="15" customHeight="1" x14ac:dyDescent="0.25"/>
  </sheetData>
  <mergeCells count="8">
    <mergeCell ref="B30:T30"/>
    <mergeCell ref="B2:T2"/>
    <mergeCell ref="B25:E25"/>
    <mergeCell ref="I25:O25"/>
    <mergeCell ref="B27:T27"/>
    <mergeCell ref="B28:T28"/>
    <mergeCell ref="B26:T26"/>
    <mergeCell ref="B29:T29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13"/>
  <sheetViews>
    <sheetView topLeftCell="A13" workbookViewId="0">
      <selection activeCell="F16" sqref="F16"/>
    </sheetView>
  </sheetViews>
  <sheetFormatPr defaultRowHeight="15" x14ac:dyDescent="0.25"/>
  <cols>
    <col min="3" max="3" width="5.42578125" customWidth="1"/>
    <col min="4" max="4" width="17.42578125" customWidth="1"/>
    <col min="5" max="5" width="0" hidden="1" customWidth="1"/>
    <col min="6" max="6" width="12.28515625" customWidth="1"/>
    <col min="7" max="7" width="15.28515625" bestFit="1" customWidth="1"/>
    <col min="8" max="8" width="21.5703125" bestFit="1" customWidth="1"/>
    <col min="10" max="10" width="17.42578125" bestFit="1" customWidth="1"/>
    <col min="13" max="13" width="18.42578125" bestFit="1" customWidth="1"/>
  </cols>
  <sheetData>
    <row r="4" spans="3:14" x14ac:dyDescent="0.25">
      <c r="C4" s="56" t="s">
        <v>57</v>
      </c>
      <c r="D4" s="57"/>
      <c r="E4" s="57"/>
      <c r="F4" s="57"/>
      <c r="G4" s="57"/>
      <c r="H4" s="57"/>
    </row>
    <row r="5" spans="3:14" x14ac:dyDescent="0.25">
      <c r="C5" s="58" t="s">
        <v>58</v>
      </c>
      <c r="D5" s="58"/>
      <c r="E5" s="58"/>
      <c r="F5" s="58"/>
      <c r="G5" s="58"/>
      <c r="H5" s="58"/>
    </row>
    <row r="6" spans="3:14" ht="45" x14ac:dyDescent="0.25">
      <c r="C6" s="43" t="s">
        <v>59</v>
      </c>
      <c r="D6" s="44" t="s">
        <v>60</v>
      </c>
      <c r="E6" s="44" t="s">
        <v>61</v>
      </c>
      <c r="F6" s="44" t="s">
        <v>62</v>
      </c>
      <c r="G6" s="44" t="s">
        <v>63</v>
      </c>
      <c r="H6" s="44" t="s">
        <v>64</v>
      </c>
    </row>
    <row r="7" spans="3:14" ht="30" x14ac:dyDescent="0.25">
      <c r="C7" s="2">
        <v>1</v>
      </c>
      <c r="D7" s="32" t="s">
        <v>65</v>
      </c>
      <c r="E7" s="2">
        <v>7180</v>
      </c>
      <c r="F7" s="2">
        <f>E7</f>
        <v>7180</v>
      </c>
      <c r="G7" s="35">
        <v>2200</v>
      </c>
      <c r="H7" s="36">
        <f>G7*F7</f>
        <v>15796000</v>
      </c>
    </row>
    <row r="8" spans="3:14" ht="30" x14ac:dyDescent="0.25">
      <c r="C8" s="2">
        <v>2</v>
      </c>
      <c r="D8" s="32" t="s">
        <v>66</v>
      </c>
      <c r="E8" s="2">
        <v>3487.22</v>
      </c>
      <c r="F8" s="2">
        <f>E8</f>
        <v>3487.22</v>
      </c>
      <c r="G8" s="35">
        <v>1940</v>
      </c>
      <c r="H8" s="36">
        <f>G8*F8</f>
        <v>6765206.7999999998</v>
      </c>
    </row>
    <row r="9" spans="3:14" x14ac:dyDescent="0.25">
      <c r="C9" s="59" t="s">
        <v>22</v>
      </c>
      <c r="D9" s="59"/>
      <c r="E9" s="59"/>
      <c r="F9" s="37">
        <f>SUM(F7:F8)</f>
        <v>10667.22</v>
      </c>
      <c r="G9" s="37"/>
      <c r="H9" s="38">
        <f>SUM(H7:H8)</f>
        <v>22561206.800000001</v>
      </c>
      <c r="N9" s="39"/>
    </row>
    <row r="10" spans="3:14" x14ac:dyDescent="0.25">
      <c r="C10" s="60" t="s">
        <v>67</v>
      </c>
      <c r="D10" s="60"/>
      <c r="E10" s="60"/>
      <c r="F10" s="60"/>
      <c r="G10" s="60"/>
      <c r="H10" s="60"/>
    </row>
    <row r="11" spans="3:14" ht="59.25" customHeight="1" x14ac:dyDescent="0.25">
      <c r="C11" s="55" t="s">
        <v>68</v>
      </c>
      <c r="D11" s="55"/>
      <c r="E11" s="55"/>
      <c r="F11" s="55"/>
      <c r="G11" s="55"/>
      <c r="H11" s="55"/>
      <c r="K11" s="39" t="e">
        <f>SUM(#REF!)</f>
        <v>#REF!</v>
      </c>
      <c r="M11" s="40">
        <f>[1]Sheet1!L28+H9</f>
        <v>787687904.22109568</v>
      </c>
    </row>
    <row r="12" spans="3:14" ht="31.5" customHeight="1" x14ac:dyDescent="0.25">
      <c r="C12" s="55" t="s">
        <v>69</v>
      </c>
      <c r="D12" s="55"/>
      <c r="E12" s="55"/>
      <c r="F12" s="55"/>
      <c r="G12" s="55"/>
      <c r="H12" s="55">
        <f>H8/12</f>
        <v>563767.23333333328</v>
      </c>
    </row>
    <row r="13" spans="3:14" x14ac:dyDescent="0.25">
      <c r="J13" s="40">
        <f>[1]Sheet2!L28+[1]Sheet2!H9</f>
        <v>24032079</v>
      </c>
    </row>
  </sheetData>
  <mergeCells count="6">
    <mergeCell ref="C12:H12"/>
    <mergeCell ref="C4:H4"/>
    <mergeCell ref="C5:H5"/>
    <mergeCell ref="C9:E9"/>
    <mergeCell ref="C10:H10"/>
    <mergeCell ref="C11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R29"/>
  <sheetViews>
    <sheetView zoomScaleNormal="100" workbookViewId="0">
      <selection activeCell="I16" sqref="I16"/>
    </sheetView>
  </sheetViews>
  <sheetFormatPr defaultRowHeight="15" x14ac:dyDescent="0.25"/>
  <cols>
    <col min="4" max="4" width="26.7109375" bestFit="1" customWidth="1"/>
    <col min="5" max="5" width="11.28515625" bestFit="1" customWidth="1"/>
  </cols>
  <sheetData>
    <row r="5" spans="2:5" x14ac:dyDescent="0.25">
      <c r="B5" s="14"/>
      <c r="C5" s="14"/>
      <c r="D5" s="14"/>
      <c r="E5" s="15"/>
    </row>
    <row r="6" spans="2:5" x14ac:dyDescent="0.25">
      <c r="B6" s="2"/>
      <c r="C6" s="2"/>
      <c r="D6" s="2"/>
      <c r="E6" s="2"/>
    </row>
    <row r="7" spans="2:5" x14ac:dyDescent="0.25">
      <c r="B7" s="2"/>
      <c r="C7" s="2"/>
      <c r="D7" s="2"/>
      <c r="E7" s="2"/>
    </row>
    <row r="8" spans="2:5" x14ac:dyDescent="0.25">
      <c r="B8" s="2"/>
      <c r="C8" s="2"/>
      <c r="D8" s="2"/>
      <c r="E8" s="2"/>
    </row>
    <row r="9" spans="2:5" x14ac:dyDescent="0.25">
      <c r="B9" s="61"/>
      <c r="C9" s="62"/>
      <c r="D9" s="63"/>
      <c r="E9" s="13"/>
    </row>
    <row r="29" spans="18:18" x14ac:dyDescent="0.25"/>
  </sheetData>
  <mergeCells count="1">
    <mergeCell ref="B9:D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buildiong</vt:lpstr>
      <vt:lpstr>Sheet3</vt:lpstr>
      <vt:lpstr>Land</vt:lpstr>
      <vt:lpstr>buildiong!Print_Area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Admin1</cp:lastModifiedBy>
  <cp:lastPrinted>2022-01-07T08:12:53Z</cp:lastPrinted>
  <dcterms:created xsi:type="dcterms:W3CDTF">2021-09-16T11:33:35Z</dcterms:created>
  <dcterms:modified xsi:type="dcterms:W3CDTF">2022-05-06T05:05:23Z</dcterms:modified>
</cp:coreProperties>
</file>