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11\Desktop\Euro Footwear\"/>
    </mc:Choice>
  </mc:AlternateContent>
  <xr:revisionPtr revIDLastSave="0" documentId="13_ncr:1_{B9F9CF66-7392-405B-B5F4-DE6485C361CC}" xr6:coauthVersionLast="47" xr6:coauthVersionMax="47" xr10:uidLastSave="{00000000-0000-0000-0000-000000000000}"/>
  <bookViews>
    <workbookView xWindow="-120" yWindow="-120" windowWidth="24240" windowHeight="13140" activeTab="3" xr2:uid="{97BC10B0-A1BB-4762-B5AE-A2505575A214}"/>
  </bookViews>
  <sheets>
    <sheet name="Physical Progress as per SP" sheetId="1" r:id="rId1"/>
    <sheet name="1" sheetId="7" r:id="rId2"/>
    <sheet name="Machineries" sheetId="4" r:id="rId3"/>
    <sheet name="Physical Progress" sheetId="2" r:id="rId4"/>
    <sheet name="Schedule" sheetId="3" r:id="rId5"/>
    <sheet name="means of finance " sheetId="5" r:id="rId6"/>
    <sheet name="Proposed machineries" sheetId="6" r:id="rId7"/>
  </sheets>
  <externalReferences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5" i="2" l="1"/>
  <c r="Q36" i="2"/>
  <c r="O35" i="2"/>
  <c r="I18" i="7"/>
  <c r="I17" i="7"/>
  <c r="J17" i="7" s="1"/>
  <c r="I16" i="7"/>
  <c r="I15" i="7"/>
  <c r="J15" i="7" s="1"/>
  <c r="J14" i="7"/>
  <c r="I14" i="7"/>
  <c r="I13" i="7"/>
  <c r="J11" i="7"/>
  <c r="I11" i="7"/>
  <c r="J10" i="7"/>
  <c r="I10" i="7"/>
  <c r="I9" i="7"/>
  <c r="I8" i="7"/>
  <c r="I7" i="7"/>
  <c r="I6" i="7"/>
  <c r="J5" i="7"/>
  <c r="I5" i="7"/>
  <c r="J4" i="7"/>
  <c r="J19" i="7" s="1"/>
  <c r="I4" i="7"/>
  <c r="J21" i="7" l="1"/>
  <c r="K4" i="7"/>
  <c r="J22" i="7"/>
  <c r="L4" i="7" l="1"/>
  <c r="L5" i="7"/>
  <c r="I34" i="2" l="1"/>
  <c r="H34" i="2"/>
  <c r="J33" i="2"/>
  <c r="L33" i="2" s="1"/>
  <c r="J32" i="2"/>
  <c r="L32" i="2" s="1"/>
  <c r="J31" i="2"/>
  <c r="L31" i="2" s="1"/>
  <c r="J30" i="2"/>
  <c r="L30" i="2" s="1"/>
  <c r="J29" i="2"/>
  <c r="L29" i="2" s="1"/>
  <c r="J28" i="2"/>
  <c r="L28" i="2" s="1"/>
  <c r="J27" i="2"/>
  <c r="L27" i="2" s="1"/>
  <c r="J26" i="2"/>
  <c r="L26" i="2" s="1"/>
  <c r="J25" i="2"/>
  <c r="L25" i="2" s="1"/>
  <c r="J24" i="2"/>
  <c r="L24" i="2" s="1"/>
  <c r="J23" i="2"/>
  <c r="L23" i="2" s="1"/>
  <c r="J22" i="2"/>
  <c r="L22" i="2" s="1"/>
  <c r="I20" i="2"/>
  <c r="H20" i="2"/>
  <c r="J19" i="2"/>
  <c r="L19" i="2" s="1"/>
  <c r="J18" i="2"/>
  <c r="L18" i="2" s="1"/>
  <c r="J17" i="2"/>
  <c r="L17" i="2" s="1"/>
  <c r="I15" i="2"/>
  <c r="H15" i="2"/>
  <c r="J14" i="2"/>
  <c r="L14" i="2" s="1"/>
  <c r="J13" i="2"/>
  <c r="L13" i="2" s="1"/>
  <c r="J12" i="2"/>
  <c r="L12" i="2" s="1"/>
  <c r="J11" i="2"/>
  <c r="I9" i="2"/>
  <c r="H9" i="2"/>
  <c r="J8" i="2"/>
  <c r="L8" i="2" s="1"/>
  <c r="J7" i="2"/>
  <c r="L7" i="2" s="1"/>
  <c r="J6" i="2"/>
  <c r="L6" i="2" s="1"/>
  <c r="J5" i="2"/>
  <c r="H4" i="4"/>
  <c r="I4" i="4"/>
  <c r="J4" i="4" s="1"/>
  <c r="H5" i="4"/>
  <c r="H6" i="4"/>
  <c r="H7" i="4"/>
  <c r="H8" i="4"/>
  <c r="H9" i="4"/>
  <c r="H10" i="4"/>
  <c r="I10" i="4"/>
  <c r="H11" i="4"/>
  <c r="I11" i="4"/>
  <c r="H13" i="4"/>
  <c r="H14" i="4"/>
  <c r="I14" i="4"/>
  <c r="H15" i="4"/>
  <c r="H16" i="4"/>
  <c r="I15" i="4" s="1"/>
  <c r="H17" i="4"/>
  <c r="H18" i="4"/>
  <c r="D7" i="5"/>
  <c r="J9" i="2" l="1"/>
  <c r="L20" i="2"/>
  <c r="H35" i="2"/>
  <c r="J15" i="2"/>
  <c r="I35" i="2"/>
  <c r="L34" i="2"/>
  <c r="J20" i="2"/>
  <c r="J34" i="2"/>
  <c r="L5" i="2"/>
  <c r="L9" i="2" s="1"/>
  <c r="L11" i="2"/>
  <c r="L15" i="2" s="1"/>
  <c r="I17" i="4"/>
  <c r="I5" i="4"/>
  <c r="I19" i="4" s="1"/>
  <c r="K5" i="4"/>
  <c r="K4" i="4"/>
  <c r="I22" i="4"/>
  <c r="D11" i="1"/>
  <c r="D24" i="1"/>
  <c r="D25" i="1"/>
  <c r="D23" i="1"/>
  <c r="D7" i="1"/>
  <c r="E49" i="1"/>
  <c r="E55" i="1" s="1"/>
  <c r="H47" i="1"/>
  <c r="F47" i="1"/>
  <c r="H45" i="1"/>
  <c r="H43" i="1"/>
  <c r="F43" i="1"/>
  <c r="H41" i="1"/>
  <c r="H39" i="1"/>
  <c r="H38" i="1"/>
  <c r="H37" i="1"/>
  <c r="H36" i="1"/>
  <c r="H35" i="1"/>
  <c r="H34" i="1"/>
  <c r="H33" i="1"/>
  <c r="H32" i="1"/>
  <c r="H31" i="1"/>
  <c r="H30" i="1"/>
  <c r="H29" i="1"/>
  <c r="F26" i="1"/>
  <c r="H14" i="1"/>
  <c r="H13" i="1"/>
  <c r="H12" i="1"/>
  <c r="H11" i="1"/>
  <c r="H10" i="1"/>
  <c r="H8" i="1"/>
  <c r="H7" i="1"/>
  <c r="H26" i="1" s="1"/>
  <c r="L35" i="2" l="1"/>
  <c r="J35" i="2"/>
  <c r="I21" i="4"/>
  <c r="H49" i="1"/>
  <c r="H50" i="1" s="1"/>
  <c r="H51" i="1" s="1"/>
  <c r="H52" i="1" s="1"/>
  <c r="E59" i="1"/>
  <c r="E56" i="1"/>
  <c r="F55" i="1" s="1"/>
  <c r="E52" i="1"/>
  <c r="E53" i="1" s="1"/>
  <c r="E57" i="1" l="1"/>
</calcChain>
</file>

<file path=xl/sharedStrings.xml><?xml version="1.0" encoding="utf-8"?>
<sst xmlns="http://schemas.openxmlformats.org/spreadsheetml/2006/main" count="386" uniqueCount="249">
  <si>
    <t>COST OF BUILDINGS AND OTHER CIVIL STRUCTURES</t>
  </si>
  <si>
    <t>Sr. No.</t>
  </si>
  <si>
    <t>DESCRIPTION</t>
  </si>
  <si>
    <t>Building Cost</t>
  </si>
  <si>
    <t>Foundation expenditure</t>
  </si>
  <si>
    <t xml:space="preserve">Main Factory Building </t>
  </si>
  <si>
    <t>First Floor</t>
  </si>
  <si>
    <t>SUB TOTAL (1.0)</t>
  </si>
  <si>
    <t>Other Structures</t>
  </si>
  <si>
    <t>Section-6</t>
  </si>
  <si>
    <t>Section-7</t>
  </si>
  <si>
    <t>Section-8</t>
  </si>
  <si>
    <t>Section-9</t>
  </si>
  <si>
    <t>Section-10</t>
  </si>
  <si>
    <t>Section-11</t>
  </si>
  <si>
    <t>Section-12</t>
  </si>
  <si>
    <t xml:space="preserve">cement silo are 4 in No. but aqs per the Holtec Clinker Silo are 4 in No. and previous report is also reported as clinker silo to be 4 </t>
  </si>
  <si>
    <t>Section-13</t>
  </si>
  <si>
    <t>Section-14</t>
  </si>
  <si>
    <t>Section-15</t>
  </si>
  <si>
    <t>Section-16</t>
  </si>
  <si>
    <t>Section-17</t>
  </si>
  <si>
    <t>SUB TOTAL (2.0)</t>
  </si>
  <si>
    <t>Auxiliary Services</t>
  </si>
  <si>
    <t>SUB TOTAL (4.0)</t>
  </si>
  <si>
    <t>SUB TOTAL (5.0)</t>
  </si>
  <si>
    <t>SUB TOTAL (7.0)</t>
  </si>
  <si>
    <t>Total (1.0+2.0+3.0+4.0+5.0+7.0)</t>
  </si>
  <si>
    <t>-</t>
  </si>
  <si>
    <t>Deep foundations cost-provisioning (Indicative 10% lumpsum provisioning considered as Geotechnical investigations at proposed plant site are at preliminary level only)</t>
  </si>
  <si>
    <t>Indicative GST component on Civil works (average approx.18% of total civil cost considered for TEFR formulation purpose)</t>
  </si>
  <si>
    <t>Total Civil Works Cost (7.0+8.0+9.0)</t>
  </si>
  <si>
    <t>Grand Total</t>
  </si>
  <si>
    <t>Area (in sq.ft.)</t>
  </si>
  <si>
    <t xml:space="preserve">Event </t>
  </si>
  <si>
    <t xml:space="preserve">Target Timeline </t>
  </si>
  <si>
    <t>Company Incorporation</t>
  </si>
  <si>
    <t xml:space="preserve">Purchase of Land </t>
  </si>
  <si>
    <t>Construction Start Date</t>
  </si>
  <si>
    <t>Construction end Date</t>
  </si>
  <si>
    <t>Placing orders for machineries</t>
  </si>
  <si>
    <t>Arrival of Machineries</t>
  </si>
  <si>
    <t>Installation of Machineries</t>
  </si>
  <si>
    <t>Trial Runs</t>
  </si>
  <si>
    <t>Commercial Production</t>
  </si>
  <si>
    <t>Existing Company</t>
  </si>
  <si>
    <t>Already Acquired</t>
  </si>
  <si>
    <t>March 
Building Progress (in Percentage)</t>
  </si>
  <si>
    <t>Passage (First floor)</t>
  </si>
  <si>
    <t>Passage (Second floor)</t>
  </si>
  <si>
    <t>Passage (Basement floor)</t>
  </si>
  <si>
    <t xml:space="preserve"> (Basement Floor) </t>
  </si>
  <si>
    <t>(Ground Floor)</t>
  </si>
  <si>
    <t>(First Floor)</t>
  </si>
  <si>
    <t>(Second Floor)</t>
  </si>
  <si>
    <t xml:space="preserve"> (Basement Floor)</t>
  </si>
  <si>
    <t>March
Foundation Progress 
(in Percentage)</t>
  </si>
  <si>
    <t>S.NO.</t>
  </si>
  <si>
    <t xml:space="preserve">Machine Name </t>
  </si>
  <si>
    <t>SUPPLIER NAME</t>
  </si>
  <si>
    <t>DATE</t>
  </si>
  <si>
    <t>QUANTITY</t>
  </si>
  <si>
    <t>PRICE</t>
  </si>
  <si>
    <t xml:space="preserve">Term Loan Payment </t>
  </si>
  <si>
    <t>Current Account payment</t>
  </si>
  <si>
    <t>Main Machine</t>
  </si>
  <si>
    <t>Automatic Rotary Table Polyurethane Injection Moulding Machine</t>
  </si>
  <si>
    <t>Desma Schuhmaschinen Gmbh</t>
  </si>
  <si>
    <t>lift</t>
  </si>
  <si>
    <t>Total Composite Works contract value</t>
  </si>
  <si>
    <t>Omega Elevators</t>
  </si>
  <si>
    <t>compressor Room</t>
  </si>
  <si>
    <t>Screw Air Comp.</t>
  </si>
  <si>
    <t>AS Equipment Pvt. Ltd.</t>
  </si>
  <si>
    <t>Air Dryers</t>
  </si>
  <si>
    <t>VA00040 1000 12.5</t>
  </si>
  <si>
    <t>Pre-Filter Assy.</t>
  </si>
  <si>
    <t>Transformer</t>
  </si>
  <si>
    <t>Transformer 500 KVA, 11/0.433 KV, 3 phase</t>
  </si>
  <si>
    <t>Marson's Electrical Industries</t>
  </si>
  <si>
    <t>D.G. SET</t>
  </si>
  <si>
    <t>Diesel Generating Set 250 KVA / 200 KW</t>
  </si>
  <si>
    <t>Jakson Limited</t>
  </si>
  <si>
    <t>In use</t>
  </si>
  <si>
    <t>Beem Cutter Travelling Head Machine</t>
  </si>
  <si>
    <t>Ningbo Mama papa Export &amp; Import Co. Ltd.</t>
  </si>
  <si>
    <t>Not in use</t>
  </si>
  <si>
    <t>Clicking Machine (For Cutting)</t>
  </si>
  <si>
    <t>UPS</t>
  </si>
  <si>
    <t>Uninterrupted Power Supply System Rating 50 KVA</t>
  </si>
  <si>
    <t>Autometers Alliance Ltd.</t>
  </si>
  <si>
    <t>Fire Equipment</t>
  </si>
  <si>
    <t>Accessories &amp; Fixing sprinkler</t>
  </si>
  <si>
    <t>Vijay Enterprises</t>
  </si>
  <si>
    <t>D.G. SET Panel</t>
  </si>
  <si>
    <t>DG Distribution Board Panel</t>
  </si>
  <si>
    <t>Zeniya Electech Pvt. Ltd.</t>
  </si>
  <si>
    <t>Panel</t>
  </si>
  <si>
    <t>Distribution Board Panel Ground &amp; First Floor</t>
  </si>
  <si>
    <t>Distribution Board Panel Basement Floor</t>
  </si>
  <si>
    <t>Distribution Board Panel Second Floor</t>
  </si>
  <si>
    <t>TOTAL</t>
  </si>
  <si>
    <t>Local</t>
  </si>
  <si>
    <t>Imported</t>
  </si>
  <si>
    <t>As per Techno Economic Viability Report</t>
  </si>
  <si>
    <t xml:space="preserve">Buildings </t>
  </si>
  <si>
    <t>Plant and Machinery</t>
  </si>
  <si>
    <t>Furniture and fixtures including industrial Electrification and lift</t>
  </si>
  <si>
    <t>Contingency and spares etc.</t>
  </si>
  <si>
    <t>Total Project Cost</t>
  </si>
  <si>
    <t>Promoter’s Contribution (Equity)</t>
  </si>
  <si>
    <t>Term Loan (Debt)</t>
  </si>
  <si>
    <t>FINAL PRICE  (Including freight)</t>
  </si>
  <si>
    <t>Store</t>
  </si>
  <si>
    <t>Supplier Name</t>
  </si>
  <si>
    <t>Cutting Department</t>
  </si>
  <si>
    <t>Cutting machine</t>
  </si>
  <si>
    <t>Ares</t>
  </si>
  <si>
    <t>Material Cutting Machine</t>
  </si>
  <si>
    <t>Heavy Duty Beam Press</t>
  </si>
  <si>
    <t>Ningbo Mama Papa</t>
  </si>
  <si>
    <t xml:space="preserve"> Preparation Department</t>
  </si>
  <si>
    <t>Skivining machine</t>
  </si>
  <si>
    <t>Topson</t>
  </si>
  <si>
    <t>Cloth Pasting</t>
  </si>
  <si>
    <t>SIECK</t>
  </si>
  <si>
    <t>Stamping Machine</t>
  </si>
  <si>
    <t>Western</t>
  </si>
  <si>
    <t>Splitting Machine</t>
  </si>
  <si>
    <t>CE Label Pasting machine</t>
  </si>
  <si>
    <t>Embossing Machine</t>
  </si>
  <si>
    <t>Sangeetha Ent.</t>
  </si>
  <si>
    <t>Socks department</t>
  </si>
  <si>
    <t>31k Machine</t>
  </si>
  <si>
    <t>Topson Ent.</t>
  </si>
  <si>
    <t>2 KG 2AG Machine</t>
  </si>
  <si>
    <t>Hind Ent.</t>
  </si>
  <si>
    <t>Post Bed Single Needle</t>
  </si>
  <si>
    <t>Iyun Shuaima</t>
  </si>
  <si>
    <t>Post Bed Double Needle</t>
  </si>
  <si>
    <t>Zig Zag Machine</t>
  </si>
  <si>
    <t>Thread Burning</t>
  </si>
  <si>
    <t>Alra Machine Tools</t>
  </si>
  <si>
    <t>Glue Spray</t>
  </si>
  <si>
    <t>Gaitonde</t>
  </si>
  <si>
    <t>Eyelet</t>
  </si>
  <si>
    <t>Automatic O-ring</t>
  </si>
  <si>
    <t>TMC</t>
  </si>
  <si>
    <t>Eyeletting</t>
  </si>
  <si>
    <t>Hook machine</t>
  </si>
  <si>
    <t>RS Machine Tools</t>
  </si>
  <si>
    <t>Plastic HooK sps</t>
  </si>
  <si>
    <t>Strobel Department</t>
  </si>
  <si>
    <t>Cursher Moulding Machine</t>
  </si>
  <si>
    <t>Yili</t>
  </si>
  <si>
    <t>Strobel Machine</t>
  </si>
  <si>
    <t>Global</t>
  </si>
  <si>
    <t>Strobel Machine Heavy Duty</t>
  </si>
  <si>
    <t>Cement Lasting Line</t>
  </si>
  <si>
    <t>Lasting Conveyor</t>
  </si>
  <si>
    <t>Kalra Machine Tools</t>
  </si>
  <si>
    <t>Toe lasting M/c</t>
  </si>
  <si>
    <t>Mulling machine</t>
  </si>
  <si>
    <t>Heater Sealer</t>
  </si>
  <si>
    <t>Buffing machine</t>
  </si>
  <si>
    <t>Plane Press</t>
  </si>
  <si>
    <t>Heat Activator</t>
  </si>
  <si>
    <t xml:space="preserve"> Lasting machine</t>
  </si>
  <si>
    <t>joro Tech</t>
  </si>
  <si>
    <t>Toe Filling machine</t>
  </si>
  <si>
    <t>Pioneer Tech</t>
  </si>
  <si>
    <t>Double Pad sole Press machine</t>
  </si>
  <si>
    <t>Spray Booth</t>
  </si>
  <si>
    <t>Reactivating Plane for soles</t>
  </si>
  <si>
    <t xml:space="preserve"> Injection Department</t>
  </si>
  <si>
    <t>Desma Machine</t>
  </si>
  <si>
    <t>Chiller</t>
  </si>
  <si>
    <t>Trimming machine</t>
  </si>
  <si>
    <t>Sole Buffing Machine</t>
  </si>
  <si>
    <t>Finishing Department</t>
  </si>
  <si>
    <t>Finishing Conveyor</t>
  </si>
  <si>
    <t>Brushing Machine Double side</t>
  </si>
  <si>
    <t xml:space="preserve">Pioneer </t>
  </si>
  <si>
    <t xml:space="preserve"> Utilities</t>
  </si>
  <si>
    <t xml:space="preserve">Generator </t>
  </si>
  <si>
    <t>Jakson</t>
  </si>
  <si>
    <t>Compressor</t>
  </si>
  <si>
    <t>As equipment Private Limited</t>
  </si>
  <si>
    <t>Air Dryer</t>
  </si>
  <si>
    <t>Moulds</t>
  </si>
  <si>
    <t>PU Mould Double Density</t>
  </si>
  <si>
    <t>Turning Head</t>
  </si>
  <si>
    <t>TPU Mould</t>
  </si>
  <si>
    <t>TPU Outsole Bottom</t>
  </si>
  <si>
    <t>Mekon</t>
  </si>
  <si>
    <t>Lift</t>
  </si>
  <si>
    <t>Furniture+Fixtures &amp; Fitting</t>
  </si>
  <si>
    <t>S.No.</t>
  </si>
  <si>
    <t xml:space="preserve">Particular </t>
  </si>
  <si>
    <t>March Building Progress
 (in Percentage)</t>
  </si>
  <si>
    <t>March Foundation Progress
 (in Percentage)</t>
  </si>
  <si>
    <t>Rate</t>
  </si>
  <si>
    <t>Amount</t>
  </si>
  <si>
    <t xml:space="preserve">Usage </t>
  </si>
  <si>
    <t>Main Factory Building-1</t>
  </si>
  <si>
    <t>Basement</t>
  </si>
  <si>
    <t>Consist of Working Hall, Warehouse &amp; Room</t>
  </si>
  <si>
    <t>Ground floor</t>
  </si>
  <si>
    <t>Consist of Cutting Department, lasting Room, Die Store, Toe Cap Store, Preparation department, Bottom Store, Office area, Toilets</t>
  </si>
  <si>
    <t>Consist of Fitter Store, Fitter Department, Consumable Store, Cabin, toilet</t>
  </si>
  <si>
    <t>Second floor</t>
  </si>
  <si>
    <t>Consist of Hall and store</t>
  </si>
  <si>
    <t>Sub-Total</t>
  </si>
  <si>
    <t>Main Factory Building-2</t>
  </si>
  <si>
    <t>Consist of Working Hall</t>
  </si>
  <si>
    <t>Consist of Lather Store, D.G. Room, Compressor Room</t>
  </si>
  <si>
    <t>Consist of Working Hall, Cateen, Kitchen</t>
  </si>
  <si>
    <t>used as Store</t>
  </si>
  <si>
    <t>Passage</t>
  </si>
  <si>
    <t>Connecting Passage between the two Main Factory Building</t>
  </si>
  <si>
    <t xml:space="preserve"> Other Structures</t>
  </si>
  <si>
    <t>Section-6/Adhesive store</t>
  </si>
  <si>
    <t>Adhesive store</t>
  </si>
  <si>
    <t>Section-7/Store</t>
  </si>
  <si>
    <t>Section-8/Toilet</t>
  </si>
  <si>
    <t>Toilet</t>
  </si>
  <si>
    <t>Section-9/Toilet</t>
  </si>
  <si>
    <t>Section-10/First Aid</t>
  </si>
  <si>
    <t>First Aid</t>
  </si>
  <si>
    <t>Section-11/H.R. Cabin</t>
  </si>
  <si>
    <t>H.R. Cabin</t>
  </si>
  <si>
    <t>Section-12/Waiting room</t>
  </si>
  <si>
    <t>Waiting room</t>
  </si>
  <si>
    <t>Section-13/Security Room</t>
  </si>
  <si>
    <t>Security Room</t>
  </si>
  <si>
    <t>Section-14/Store</t>
  </si>
  <si>
    <t>Section-15/Store</t>
  </si>
  <si>
    <t>Section-16/Store</t>
  </si>
  <si>
    <t>Section-17/Store</t>
  </si>
  <si>
    <t>Total</t>
  </si>
  <si>
    <t>INVOICE NO.</t>
  </si>
  <si>
    <t>AU/RCD/001/21-22</t>
  </si>
  <si>
    <t>MEI/2021-22/025</t>
  </si>
  <si>
    <t>1P0520101251</t>
  </si>
  <si>
    <t>MP2021DL15</t>
  </si>
  <si>
    <t>ZG3192</t>
  </si>
  <si>
    <t>ZG3193</t>
  </si>
  <si>
    <t>UP/2122/00096</t>
  </si>
  <si>
    <t>~Area (in sq.ft.)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</si>
</sst>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₹&quot;\ * #,##0.00_ ;_ &quot;₹&quot;\ * \-#,##0.00_ ;_ &quot;₹&quot;\ * &quot;-&quot;??_ ;_ @_ "/>
    <numFmt numFmtId="164" formatCode="&quot;Section-5 &quot;@"/>
    <numFmt numFmtId="165" formatCode="&quot;Section-2 &quot;@"/>
    <numFmt numFmtId="166" formatCode="&quot;Section-1 &quot;@"/>
    <numFmt numFmtId="167" formatCode="&quot;Section-3 &quot;@"/>
    <numFmt numFmtId="168" formatCode="&quot;₹&quot;\ #,##0"/>
    <numFmt numFmtId="169" formatCode="_ [$₹-4009]\ * #,##0.00_ ;_ [$₹-4009]\ * \-#,##0.00_ ;_ [$₹-4009]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BACC6"/>
      </left>
      <right style="medium">
        <color rgb="FF4BACC6"/>
      </right>
      <top style="thick">
        <color rgb="FF4BACC6"/>
      </top>
      <bottom style="thick">
        <color rgb="FF4BACC6"/>
      </bottom>
      <diagonal/>
    </border>
    <border>
      <left/>
      <right style="medium">
        <color rgb="FF4BACC6"/>
      </right>
      <top style="thick">
        <color rgb="FF4BACC6"/>
      </top>
      <bottom style="thick">
        <color rgb="FF4BACC6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2" fontId="2" fillId="2" borderId="1" xfId="0" applyNumberFormat="1" applyFont="1" applyFill="1" applyBorder="1"/>
    <xf numFmtId="9" fontId="2" fillId="2" borderId="1" xfId="1" applyFont="1" applyFill="1" applyBorder="1"/>
    <xf numFmtId="165" fontId="2" fillId="2" borderId="1" xfId="0" applyNumberFormat="1" applyFont="1" applyFill="1" applyBorder="1" applyAlignment="1">
      <alignment horizontal="left" vertical="center"/>
    </xf>
    <xf numFmtId="166" fontId="2" fillId="2" borderId="1" xfId="0" applyNumberFormat="1" applyFont="1" applyFill="1" applyBorder="1" applyAlignment="1">
      <alignment horizontal="left" vertical="center"/>
    </xf>
    <xf numFmtId="167" fontId="2" fillId="2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2" fontId="6" fillId="4" borderId="1" xfId="0" applyNumberFormat="1" applyFont="1" applyFill="1" applyBorder="1"/>
    <xf numFmtId="9" fontId="6" fillId="4" borderId="1" xfId="1" applyFont="1" applyFill="1" applyBorder="1"/>
    <xf numFmtId="9" fontId="2" fillId="4" borderId="1" xfId="1" applyFont="1" applyFill="1" applyBorder="1"/>
    <xf numFmtId="0" fontId="6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2" fontId="2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2" fontId="6" fillId="2" borderId="1" xfId="0" applyNumberFormat="1" applyFont="1" applyFill="1" applyBorder="1"/>
    <xf numFmtId="9" fontId="6" fillId="2" borderId="1" xfId="1" applyFont="1" applyFill="1" applyBorder="1"/>
    <xf numFmtId="2" fontId="6" fillId="2" borderId="4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9" fontId="2" fillId="2" borderId="1" xfId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right" vertical="center"/>
    </xf>
    <xf numFmtId="0" fontId="2" fillId="2" borderId="1" xfId="1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/>
    </xf>
    <xf numFmtId="2" fontId="2" fillId="2" borderId="0" xfId="0" applyNumberFormat="1" applyFont="1" applyFill="1"/>
    <xf numFmtId="0" fontId="2" fillId="2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6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8" fontId="0" fillId="0" borderId="0" xfId="0" applyNumberFormat="1" applyAlignment="1">
      <alignment horizontal="right" vertical="center" wrapText="1"/>
    </xf>
    <xf numFmtId="168" fontId="8" fillId="0" borderId="0" xfId="0" applyNumberFormat="1" applyFont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right" vertical="center" wrapText="1"/>
    </xf>
    <xf numFmtId="0" fontId="12" fillId="9" borderId="8" xfId="0" applyFont="1" applyFill="1" applyBorder="1" applyAlignment="1">
      <alignment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168" fontId="10" fillId="7" borderId="1" xfId="0" applyNumberFormat="1" applyFont="1" applyFill="1" applyBorder="1" applyAlignment="1">
      <alignment horizontal="center" vertical="center"/>
    </xf>
    <xf numFmtId="168" fontId="10" fillId="7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17" fontId="0" fillId="0" borderId="1" xfId="0" applyNumberFormat="1" applyBorder="1"/>
    <xf numFmtId="0" fontId="7" fillId="7" borderId="1" xfId="0" applyFont="1" applyFill="1" applyBorder="1"/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44" fontId="0" fillId="0" borderId="1" xfId="2" applyFont="1" applyBorder="1"/>
    <xf numFmtId="44" fontId="0" fillId="0" borderId="1" xfId="2" applyFont="1" applyBorder="1" applyAlignment="1"/>
    <xf numFmtId="44" fontId="0" fillId="0" borderId="0" xfId="2" applyFont="1"/>
    <xf numFmtId="44" fontId="0" fillId="0" borderId="0" xfId="0" applyNumberFormat="1"/>
    <xf numFmtId="44" fontId="0" fillId="0" borderId="1" xfId="2" applyFont="1" applyFill="1" applyBorder="1"/>
    <xf numFmtId="9" fontId="0" fillId="0" borderId="1" xfId="1" applyFont="1" applyBorder="1" applyAlignment="1"/>
    <xf numFmtId="16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68" fontId="0" fillId="0" borderId="0" xfId="0" applyNumberFormat="1" applyAlignment="1">
      <alignment horizontal="right" vertical="center" wrapText="1"/>
    </xf>
    <xf numFmtId="168" fontId="8" fillId="0" borderId="0" xfId="0" applyNumberFormat="1" applyFont="1" applyAlignment="1">
      <alignment horizontal="right" vertical="center" wrapText="1"/>
    </xf>
    <xf numFmtId="0" fontId="10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 wrapText="1"/>
    </xf>
    <xf numFmtId="168" fontId="10" fillId="7" borderId="1" xfId="0" applyNumberFormat="1" applyFont="1" applyFill="1" applyBorder="1" applyAlignment="1">
      <alignment horizontal="center" vertical="center"/>
    </xf>
    <xf numFmtId="168" fontId="10" fillId="7" borderId="1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9" fillId="6" borderId="4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8" fontId="0" fillId="0" borderId="5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 wrapText="1"/>
    </xf>
    <xf numFmtId="168" fontId="0" fillId="0" borderId="6" xfId="0" applyNumberFormat="1" applyBorder="1" applyAlignment="1">
      <alignment horizontal="center" vertical="center" wrapText="1"/>
    </xf>
    <xf numFmtId="168" fontId="0" fillId="0" borderId="7" xfId="0" applyNumberFormat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/>
    </xf>
    <xf numFmtId="0" fontId="15" fillId="11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left"/>
    </xf>
    <xf numFmtId="0" fontId="6" fillId="10" borderId="3" xfId="0" applyFont="1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9" fillId="10" borderId="2" xfId="0" applyFont="1" applyFill="1" applyBorder="1" applyAlignment="1">
      <alignment horizontal="left"/>
    </xf>
    <xf numFmtId="0" fontId="9" fillId="10" borderId="3" xfId="0" applyFont="1" applyFill="1" applyBorder="1" applyAlignment="1">
      <alignment horizontal="left"/>
    </xf>
    <xf numFmtId="0" fontId="9" fillId="10" borderId="4" xfId="0" applyFont="1" applyFill="1" applyBorder="1" applyAlignment="1">
      <alignment horizontal="left"/>
    </xf>
    <xf numFmtId="0" fontId="6" fillId="10" borderId="2" xfId="0" applyFont="1" applyFill="1" applyBorder="1"/>
    <xf numFmtId="0" fontId="6" fillId="10" borderId="3" xfId="0" applyFont="1" applyFill="1" applyBorder="1"/>
    <xf numFmtId="0" fontId="6" fillId="10" borderId="4" xfId="0" applyFont="1" applyFill="1" applyBorder="1"/>
    <xf numFmtId="169" fontId="0" fillId="0" borderId="0" xfId="0" applyNumberFormat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u="sng">
                <a:solidFill>
                  <a:schemeClr val="tx1"/>
                </a:solidFill>
              </a:rPr>
              <a:t>MEANS</a:t>
            </a:r>
            <a:r>
              <a:rPr lang="en-GB" u="sng" baseline="0">
                <a:solidFill>
                  <a:schemeClr val="tx1"/>
                </a:solidFill>
              </a:rPr>
              <a:t> OF FINANCE (Rs.2970.30 Crore</a:t>
            </a:r>
            <a:r>
              <a:rPr lang="en-GB" baseline="0">
                <a:solidFill>
                  <a:schemeClr val="tx1"/>
                </a:solidFill>
              </a:rPr>
              <a:t>)</a:t>
            </a:r>
            <a:endParaRPr lang="en-GB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5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49B-47AE-B58D-1AF96742D79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9B-47AE-B58D-1AF96742D794}"/>
              </c:ext>
            </c:extLst>
          </c:dPt>
          <c:dLbls>
            <c:dLbl>
              <c:idx val="0"/>
              <c:layout>
                <c:manualLayout>
                  <c:x val="-2.5000000000000001E-2"/>
                  <c:y val="-0.1111111111111111"/>
                </c:manualLayout>
              </c:layout>
              <c:tx>
                <c:rich>
                  <a:bodyPr/>
                  <a:lstStyle/>
                  <a:p>
                    <a:fld id="{ACFA26A4-2376-4894-B85B-C4AE67A05E2E}" type="PERCENTAGE">
                      <a:rPr lang="en-US" baseline="0"/>
                      <a:pPr/>
                      <a:t>[PERCENTAGE]</a:t>
                    </a:fld>
                    <a:endParaRPr lang="en-IN"/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49B-47AE-B58D-1AF96742D794}"/>
                </c:ext>
              </c:extLst>
            </c:dLbl>
            <c:dLbl>
              <c:idx val="1"/>
              <c:layout>
                <c:manualLayout>
                  <c:x val="-2.2222222222222247E-2"/>
                  <c:y val="5.0925925925925923E-2"/>
                </c:manualLayout>
              </c:layout>
              <c:tx>
                <c:rich>
                  <a:bodyPr/>
                  <a:lstStyle/>
                  <a:p>
                    <a:fld id="{1D198034-D85B-4E0A-9239-4D68D578D541}" type="PERCENTAGE">
                      <a:rPr lang="en-US" baseline="0"/>
                      <a:pPr/>
                      <a:t>[PERCENTAGE]</a:t>
                    </a:fld>
                    <a:endParaRPr lang="en-IN"/>
                  </a:p>
                </c:rich>
              </c:tx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49B-47AE-B58D-1AF96742D79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'[1]Cost of Project'!$C$10:$C$11</c:f>
              <c:strCache>
                <c:ptCount val="2"/>
                <c:pt idx="0">
                  <c:v>Promoter’s Contribution (Equity)</c:v>
                </c:pt>
                <c:pt idx="1">
                  <c:v>Term Loan (Debt)</c:v>
                </c:pt>
              </c:strCache>
            </c:strRef>
          </c:cat>
          <c:val>
            <c:numRef>
              <c:f>'[1]Cost of Project'!$D$10:$D$11</c:f>
              <c:numCache>
                <c:formatCode>General</c:formatCode>
                <c:ptCount val="2"/>
                <c:pt idx="0">
                  <c:v>7.19</c:v>
                </c:pt>
                <c:pt idx="1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9B-47AE-B58D-1AF96742D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COST OF PROJECT (Rs.20.69 Crore)</a:t>
            </a:r>
            <a:endParaRPr lang="en-I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73-4272-A502-D703A61E2F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73-4272-A502-D703A61E2FA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573-4272-A502-D703A61E2FA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573-4272-A502-D703A61E2F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'[1]Cost of Project'!$C$3:$C$6</c:f>
              <c:strCache>
                <c:ptCount val="4"/>
                <c:pt idx="0">
                  <c:v>Buildings </c:v>
                </c:pt>
                <c:pt idx="1">
                  <c:v>Plant and Machinery</c:v>
                </c:pt>
                <c:pt idx="2">
                  <c:v>Furniture and fixtures including industrial Electrification and lift</c:v>
                </c:pt>
                <c:pt idx="3">
                  <c:v>Contingency and spares etc.</c:v>
                </c:pt>
              </c:strCache>
            </c:strRef>
          </c:cat>
          <c:val>
            <c:numRef>
              <c:f>'[1]Cost of Project'!$D$3:$D$6</c:f>
              <c:numCache>
                <c:formatCode>General</c:formatCode>
                <c:ptCount val="4"/>
                <c:pt idx="0">
                  <c:v>8.7899999999999991</c:v>
                </c:pt>
                <c:pt idx="1">
                  <c:v>10.11</c:v>
                </c:pt>
                <c:pt idx="2">
                  <c:v>0.8</c:v>
                </c:pt>
                <c:pt idx="3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73-4272-A502-D703A61E2FA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357746</xdr:colOff>
      <xdr:row>12</xdr:row>
      <xdr:rowOff>84884</xdr:rowOff>
    </xdr:from>
    <xdr:to>
      <xdr:col>13</xdr:col>
      <xdr:colOff>52947</xdr:colOff>
      <xdr:row>24</xdr:row>
      <xdr:rowOff>164446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313DD-8243-4F09-924E-A4B0E29F1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396129</xdr:colOff>
      <xdr:row>0</xdr:row>
      <xdr:rowOff>0</xdr:rowOff>
    </xdr:from>
    <xdr:to>
      <xdr:col>14</xdr:col>
      <xdr:colOff>193302</xdr:colOff>
      <xdr:row>11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172B489-0D29-4558-AF5B-EBC256EC5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uro%20Footw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y, Prog. and exp. sheet"/>
      <sheetName val="Detailed Physical Progress IU"/>
      <sheetName val="Detailed Phy. progress GU"/>
      <sheetName val="IU COP"/>
      <sheetName val="IU Civil cost"/>
      <sheetName val="Sheet2"/>
      <sheetName val="IU M&amp;E"/>
      <sheetName val="IU Power Distribution"/>
      <sheetName val="GU COP"/>
      <sheetName val="GU Civil Cost"/>
      <sheetName val="GU M&amp;E"/>
      <sheetName val="GU Power Distrbution"/>
      <sheetName val="Constractors and suppliers"/>
      <sheetName val="Cost of Project"/>
      <sheetName val="CA Certificate"/>
      <sheetName val="Machinerie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C3" t="str">
            <v xml:space="preserve">Buildings </v>
          </cell>
          <cell r="D3">
            <v>8.7899999999999991</v>
          </cell>
        </row>
        <row r="4">
          <cell r="C4" t="str">
            <v>Plant and Machinery</v>
          </cell>
          <cell r="D4">
            <v>10.11</v>
          </cell>
        </row>
        <row r="5">
          <cell r="C5" t="str">
            <v>Furniture and fixtures including industrial Electrification and lift</v>
          </cell>
          <cell r="D5">
            <v>0.8</v>
          </cell>
        </row>
        <row r="6">
          <cell r="C6" t="str">
            <v>Contingency and spares etc.</v>
          </cell>
          <cell r="D6">
            <v>0.99</v>
          </cell>
        </row>
        <row r="10">
          <cell r="C10" t="str">
            <v>Promoter’s Contribution (Equity)</v>
          </cell>
          <cell r="D10">
            <v>7.19</v>
          </cell>
        </row>
        <row r="11">
          <cell r="C11" t="str">
            <v>Term Loan (Debt)</v>
          </cell>
          <cell r="D11">
            <v>13.5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77FBF-1D0B-4A6D-A35B-E6F713820023}">
  <dimension ref="B2:N59"/>
  <sheetViews>
    <sheetView topLeftCell="A4" workbookViewId="0">
      <selection activeCell="F16" sqref="F16"/>
    </sheetView>
  </sheetViews>
  <sheetFormatPr defaultColWidth="8.85546875" defaultRowHeight="14.25" x14ac:dyDescent="0.2"/>
  <cols>
    <col min="1" max="1" width="2" style="3" customWidth="1"/>
    <col min="2" max="2" width="8.85546875" style="1"/>
    <col min="3" max="3" width="32.7109375" style="6" customWidth="1"/>
    <col min="4" max="4" width="32.7109375" style="6" hidden="1" customWidth="1"/>
    <col min="5" max="5" width="18.7109375" style="3" hidden="1" customWidth="1"/>
    <col min="6" max="6" width="19.85546875" style="3" customWidth="1"/>
    <col min="7" max="7" width="25.42578125" style="3" customWidth="1"/>
    <col min="8" max="8" width="26" style="3" hidden="1" customWidth="1"/>
    <col min="9" max="13" width="8.85546875" style="3"/>
    <col min="14" max="14" width="148.28515625" style="3" bestFit="1" customWidth="1"/>
    <col min="15" max="16384" width="8.85546875" style="3"/>
  </cols>
  <sheetData>
    <row r="2" spans="2:8" ht="20.25" x14ac:dyDescent="0.2">
      <c r="C2" s="2" t="s">
        <v>0</v>
      </c>
      <c r="D2" s="2"/>
    </row>
    <row r="3" spans="2:8" ht="15" x14ac:dyDescent="0.2">
      <c r="B3" s="4"/>
      <c r="C3" s="5"/>
      <c r="D3" s="5"/>
    </row>
    <row r="4" spans="2:8" ht="15" x14ac:dyDescent="0.2">
      <c r="B4" s="4"/>
    </row>
    <row r="5" spans="2:8" ht="45" x14ac:dyDescent="0.2">
      <c r="B5" s="40" t="s">
        <v>1</v>
      </c>
      <c r="C5" s="40" t="s">
        <v>2</v>
      </c>
      <c r="D5" s="40" t="s">
        <v>33</v>
      </c>
      <c r="E5" s="40" t="s">
        <v>3</v>
      </c>
      <c r="F5" s="41" t="s">
        <v>47</v>
      </c>
      <c r="G5" s="41" t="s">
        <v>56</v>
      </c>
      <c r="H5" s="40" t="s">
        <v>4</v>
      </c>
    </row>
    <row r="6" spans="2:8" ht="15" x14ac:dyDescent="0.2">
      <c r="B6" s="42">
        <v>1</v>
      </c>
      <c r="C6" s="106" t="s">
        <v>5</v>
      </c>
      <c r="D6" s="107"/>
      <c r="E6" s="107"/>
      <c r="F6" s="107"/>
      <c r="G6" s="107"/>
      <c r="H6" s="108"/>
    </row>
    <row r="7" spans="2:8" x14ac:dyDescent="0.2">
      <c r="B7" s="7">
        <v>1.1000000000000001</v>
      </c>
      <c r="C7" s="8" t="s">
        <v>51</v>
      </c>
      <c r="D7" s="9">
        <f>106*48</f>
        <v>5088</v>
      </c>
      <c r="E7" s="10">
        <v>1090</v>
      </c>
      <c r="F7" s="11">
        <v>1</v>
      </c>
      <c r="G7" s="11">
        <v>1</v>
      </c>
      <c r="H7" s="10" t="e">
        <f>#REF!*#REF!</f>
        <v>#REF!</v>
      </c>
    </row>
    <row r="8" spans="2:8" x14ac:dyDescent="0.2">
      <c r="B8" s="7">
        <v>1.2</v>
      </c>
      <c r="C8" s="8" t="s">
        <v>52</v>
      </c>
      <c r="D8" s="9"/>
      <c r="E8" s="10">
        <v>100</v>
      </c>
      <c r="F8" s="11">
        <v>1</v>
      </c>
      <c r="G8" s="11">
        <v>1</v>
      </c>
      <c r="H8" s="10" t="e">
        <f>#REF!*#REF!</f>
        <v>#REF!</v>
      </c>
    </row>
    <row r="9" spans="2:8" x14ac:dyDescent="0.2">
      <c r="B9" s="7">
        <v>1.3</v>
      </c>
      <c r="C9" s="8" t="s">
        <v>53</v>
      </c>
      <c r="D9" s="9"/>
      <c r="E9" s="10"/>
      <c r="F9" s="11">
        <v>1</v>
      </c>
      <c r="G9" s="11">
        <v>1</v>
      </c>
      <c r="H9" s="10"/>
    </row>
    <row r="10" spans="2:8" x14ac:dyDescent="0.2">
      <c r="B10" s="7">
        <v>1.4</v>
      </c>
      <c r="C10" s="8" t="s">
        <v>54</v>
      </c>
      <c r="D10" s="9"/>
      <c r="E10" s="10">
        <v>720</v>
      </c>
      <c r="F10" s="11">
        <v>1</v>
      </c>
      <c r="G10" s="11">
        <v>1</v>
      </c>
      <c r="H10" s="10" t="e">
        <f>#REF!*#REF!</f>
        <v>#REF!</v>
      </c>
    </row>
    <row r="11" spans="2:8" x14ac:dyDescent="0.2">
      <c r="B11" s="7">
        <v>1.5</v>
      </c>
      <c r="C11" s="12" t="s">
        <v>51</v>
      </c>
      <c r="D11" s="9">
        <f>101*105</f>
        <v>10605</v>
      </c>
      <c r="E11" s="10">
        <v>2415</v>
      </c>
      <c r="F11" s="11">
        <v>1</v>
      </c>
      <c r="G11" s="11">
        <v>1</v>
      </c>
      <c r="H11" s="10" t="e">
        <f>#REF!*#REF!</f>
        <v>#REF!</v>
      </c>
    </row>
    <row r="12" spans="2:8" x14ac:dyDescent="0.2">
      <c r="B12" s="7">
        <v>1.6</v>
      </c>
      <c r="C12" s="12" t="s">
        <v>52</v>
      </c>
      <c r="D12" s="9"/>
      <c r="E12" s="10">
        <v>185</v>
      </c>
      <c r="F12" s="11">
        <v>1</v>
      </c>
      <c r="G12" s="11">
        <v>1</v>
      </c>
      <c r="H12" s="10" t="e">
        <f>#REF!*#REF!</f>
        <v>#REF!</v>
      </c>
    </row>
    <row r="13" spans="2:8" x14ac:dyDescent="0.2">
      <c r="B13" s="7">
        <v>1.7</v>
      </c>
      <c r="C13" s="12" t="s">
        <v>53</v>
      </c>
      <c r="D13" s="9"/>
      <c r="E13" s="10">
        <v>770</v>
      </c>
      <c r="F13" s="11">
        <v>1</v>
      </c>
      <c r="G13" s="11">
        <v>1</v>
      </c>
      <c r="H13" s="10" t="e">
        <f>#REF!*#REF!</f>
        <v>#REF!</v>
      </c>
    </row>
    <row r="14" spans="2:8" x14ac:dyDescent="0.2">
      <c r="B14" s="7">
        <v>1.8</v>
      </c>
      <c r="C14" s="12" t="s">
        <v>54</v>
      </c>
      <c r="D14" s="9"/>
      <c r="E14" s="10">
        <v>60</v>
      </c>
      <c r="F14" s="11">
        <v>1</v>
      </c>
      <c r="G14" s="11">
        <v>1</v>
      </c>
      <c r="H14" s="10" t="e">
        <f>#REF!*#REF!</f>
        <v>#REF!</v>
      </c>
    </row>
    <row r="15" spans="2:8" x14ac:dyDescent="0.2">
      <c r="B15" s="7">
        <v>1.9</v>
      </c>
      <c r="C15" s="13" t="s">
        <v>55</v>
      </c>
      <c r="D15" s="9"/>
      <c r="E15" s="10"/>
      <c r="F15" s="11">
        <v>1</v>
      </c>
      <c r="G15" s="11">
        <v>1</v>
      </c>
      <c r="H15" s="10"/>
    </row>
    <row r="16" spans="2:8" x14ac:dyDescent="0.2">
      <c r="B16" s="7">
        <v>2</v>
      </c>
      <c r="C16" s="13" t="s">
        <v>52</v>
      </c>
      <c r="D16" s="9"/>
      <c r="E16" s="10"/>
      <c r="F16" s="11">
        <v>1</v>
      </c>
      <c r="G16" s="11">
        <v>1</v>
      </c>
      <c r="H16" s="10"/>
    </row>
    <row r="17" spans="2:8" x14ac:dyDescent="0.2">
      <c r="B17" s="7">
        <v>2.1</v>
      </c>
      <c r="C17" s="13" t="s">
        <v>53</v>
      </c>
      <c r="D17" s="9"/>
      <c r="E17" s="10"/>
      <c r="F17" s="11">
        <v>1</v>
      </c>
      <c r="G17" s="11">
        <v>1</v>
      </c>
      <c r="H17" s="10"/>
    </row>
    <row r="18" spans="2:8" x14ac:dyDescent="0.2">
      <c r="B18" s="7">
        <v>2.2000000000000002</v>
      </c>
      <c r="C18" s="13" t="s">
        <v>54</v>
      </c>
      <c r="D18" s="9"/>
      <c r="E18" s="10"/>
      <c r="F18" s="11">
        <v>1</v>
      </c>
      <c r="G18" s="11">
        <v>1</v>
      </c>
      <c r="H18" s="10"/>
    </row>
    <row r="19" spans="2:8" x14ac:dyDescent="0.2">
      <c r="B19" s="7">
        <v>2.2999999999999998</v>
      </c>
      <c r="C19" s="14" t="s">
        <v>55</v>
      </c>
      <c r="D19" s="9"/>
      <c r="E19" s="10"/>
      <c r="F19" s="11">
        <v>1</v>
      </c>
      <c r="G19" s="11">
        <v>1</v>
      </c>
      <c r="H19" s="10"/>
    </row>
    <row r="20" spans="2:8" x14ac:dyDescent="0.2">
      <c r="B20" s="7">
        <v>2.4</v>
      </c>
      <c r="C20" s="14" t="s">
        <v>52</v>
      </c>
      <c r="D20" s="9"/>
      <c r="E20" s="10"/>
      <c r="F20" s="11">
        <v>1</v>
      </c>
      <c r="G20" s="11">
        <v>1</v>
      </c>
      <c r="H20" s="10"/>
    </row>
    <row r="21" spans="2:8" x14ac:dyDescent="0.2">
      <c r="B21" s="7">
        <v>2.5</v>
      </c>
      <c r="C21" s="14" t="s">
        <v>53</v>
      </c>
      <c r="D21" s="9"/>
      <c r="E21" s="10"/>
      <c r="F21" s="11">
        <v>1</v>
      </c>
      <c r="G21" s="11">
        <v>1</v>
      </c>
      <c r="H21" s="10"/>
    </row>
    <row r="22" spans="2:8" x14ac:dyDescent="0.2">
      <c r="B22" s="7">
        <v>2.6</v>
      </c>
      <c r="C22" s="14" t="s">
        <v>54</v>
      </c>
      <c r="D22" s="9"/>
      <c r="E22" s="10"/>
      <c r="F22" s="11">
        <v>1</v>
      </c>
      <c r="G22" s="11">
        <v>1</v>
      </c>
      <c r="H22" s="10"/>
    </row>
    <row r="23" spans="2:8" x14ac:dyDescent="0.2">
      <c r="B23" s="7">
        <v>2.7</v>
      </c>
      <c r="C23" s="39" t="s">
        <v>50</v>
      </c>
      <c r="D23" s="9">
        <f>10*32</f>
        <v>320</v>
      </c>
      <c r="E23" s="10"/>
      <c r="F23" s="11">
        <v>1</v>
      </c>
      <c r="G23" s="11">
        <v>1</v>
      </c>
      <c r="H23" s="10"/>
    </row>
    <row r="24" spans="2:8" x14ac:dyDescent="0.2">
      <c r="B24" s="7">
        <v>2.8</v>
      </c>
      <c r="C24" s="39" t="s">
        <v>48</v>
      </c>
      <c r="D24" s="9">
        <f t="shared" ref="D24:D25" si="0">10*32</f>
        <v>320</v>
      </c>
      <c r="E24" s="10"/>
      <c r="F24" s="11">
        <v>1</v>
      </c>
      <c r="G24" s="11">
        <v>1</v>
      </c>
      <c r="H24" s="10"/>
    </row>
    <row r="25" spans="2:8" x14ac:dyDescent="0.2">
      <c r="B25" s="7">
        <v>2.9</v>
      </c>
      <c r="C25" s="39" t="s">
        <v>49</v>
      </c>
      <c r="D25" s="9">
        <f t="shared" si="0"/>
        <v>320</v>
      </c>
      <c r="E25" s="10"/>
      <c r="F25" s="11">
        <v>1</v>
      </c>
      <c r="G25" s="11">
        <v>1</v>
      </c>
      <c r="H25" s="10"/>
    </row>
    <row r="26" spans="2:8" s="20" customFormat="1" ht="15" hidden="1" x14ac:dyDescent="0.25">
      <c r="B26" s="15"/>
      <c r="C26" s="16" t="s">
        <v>7</v>
      </c>
      <c r="D26" s="16"/>
      <c r="E26" s="17">
        <v>8565</v>
      </c>
      <c r="F26" s="18">
        <f>AVERAGE(F7:F22)</f>
        <v>1</v>
      </c>
      <c r="G26" s="19">
        <v>1</v>
      </c>
      <c r="H26" s="17" t="e">
        <f>SUBTOTAL(9,H7:H22)</f>
        <v>#REF!</v>
      </c>
    </row>
    <row r="27" spans="2:8" ht="15" x14ac:dyDescent="0.2">
      <c r="B27" s="43">
        <v>2</v>
      </c>
      <c r="C27" s="114" t="s">
        <v>8</v>
      </c>
      <c r="D27" s="115"/>
      <c r="E27" s="115"/>
      <c r="F27" s="115"/>
      <c r="G27" s="116"/>
      <c r="H27" s="22"/>
    </row>
    <row r="28" spans="2:8" x14ac:dyDescent="0.2">
      <c r="B28" s="7">
        <v>2.1</v>
      </c>
      <c r="C28" s="23" t="s">
        <v>9</v>
      </c>
      <c r="D28" s="23"/>
      <c r="E28" s="10">
        <v>350</v>
      </c>
      <c r="F28" s="11">
        <v>1</v>
      </c>
      <c r="G28" s="11">
        <v>1</v>
      </c>
      <c r="H28" s="10">
        <v>95</v>
      </c>
    </row>
    <row r="29" spans="2:8" x14ac:dyDescent="0.2">
      <c r="B29" s="7">
        <v>2.2000000000000002</v>
      </c>
      <c r="C29" s="23" t="s">
        <v>10</v>
      </c>
      <c r="D29" s="23"/>
      <c r="E29" s="10">
        <v>155</v>
      </c>
      <c r="F29" s="11">
        <v>1</v>
      </c>
      <c r="G29" s="11">
        <v>1</v>
      </c>
      <c r="H29" s="10" t="e">
        <f>#REF!*#REF!</f>
        <v>#REF!</v>
      </c>
    </row>
    <row r="30" spans="2:8" x14ac:dyDescent="0.2">
      <c r="B30" s="7">
        <v>2.2999999999999998</v>
      </c>
      <c r="C30" s="23" t="s">
        <v>11</v>
      </c>
      <c r="D30" s="23"/>
      <c r="E30" s="10">
        <v>185</v>
      </c>
      <c r="F30" s="11">
        <v>1</v>
      </c>
      <c r="G30" s="11">
        <v>1</v>
      </c>
      <c r="H30" s="10" t="e">
        <f>#REF!*#REF!</f>
        <v>#REF!</v>
      </c>
    </row>
    <row r="31" spans="2:8" x14ac:dyDescent="0.2">
      <c r="B31" s="7">
        <v>2.4</v>
      </c>
      <c r="C31" s="23" t="s">
        <v>12</v>
      </c>
      <c r="D31" s="23"/>
      <c r="E31" s="10">
        <v>340</v>
      </c>
      <c r="F31" s="11">
        <v>1</v>
      </c>
      <c r="G31" s="11">
        <v>1</v>
      </c>
      <c r="H31" s="10" t="e">
        <f>#REF!*#REF!</f>
        <v>#REF!</v>
      </c>
    </row>
    <row r="32" spans="2:8" x14ac:dyDescent="0.2">
      <c r="B32" s="7">
        <v>2.5</v>
      </c>
      <c r="C32" s="23" t="s">
        <v>13</v>
      </c>
      <c r="D32" s="23"/>
      <c r="E32" s="10">
        <v>630</v>
      </c>
      <c r="F32" s="11">
        <v>1</v>
      </c>
      <c r="G32" s="11">
        <v>1</v>
      </c>
      <c r="H32" s="10" t="e">
        <f>#REF!*#REF!</f>
        <v>#REF!</v>
      </c>
    </row>
    <row r="33" spans="2:14" x14ac:dyDescent="0.2">
      <c r="B33" s="7">
        <v>2.6</v>
      </c>
      <c r="C33" s="23" t="s">
        <v>14</v>
      </c>
      <c r="D33" s="23"/>
      <c r="E33" s="24">
        <v>2175</v>
      </c>
      <c r="F33" s="11">
        <v>1</v>
      </c>
      <c r="G33" s="11">
        <v>1</v>
      </c>
      <c r="H33" s="10" t="e">
        <f>#REF!*#REF!</f>
        <v>#REF!</v>
      </c>
    </row>
    <row r="34" spans="2:14" hidden="1" x14ac:dyDescent="0.2">
      <c r="B34" s="7">
        <v>2.7</v>
      </c>
      <c r="C34" s="23" t="s">
        <v>15</v>
      </c>
      <c r="D34" s="23"/>
      <c r="E34" s="10">
        <v>0</v>
      </c>
      <c r="F34" s="11">
        <v>1</v>
      </c>
      <c r="G34" s="11">
        <v>1</v>
      </c>
      <c r="H34" s="10" t="e">
        <f>#REF!*#REF!</f>
        <v>#REF!</v>
      </c>
      <c r="N34" s="3" t="s">
        <v>16</v>
      </c>
    </row>
    <row r="35" spans="2:14" x14ac:dyDescent="0.2">
      <c r="B35" s="7">
        <v>2.8</v>
      </c>
      <c r="C35" s="23" t="s">
        <v>17</v>
      </c>
      <c r="D35" s="23"/>
      <c r="E35" s="24">
        <v>295</v>
      </c>
      <c r="F35" s="11">
        <v>1</v>
      </c>
      <c r="G35" s="11">
        <v>1</v>
      </c>
      <c r="H35" s="10" t="e">
        <f>#REF!*#REF!</f>
        <v>#REF!</v>
      </c>
    </row>
    <row r="36" spans="2:14" x14ac:dyDescent="0.2">
      <c r="B36" s="7">
        <v>2.9</v>
      </c>
      <c r="C36" s="23" t="s">
        <v>18</v>
      </c>
      <c r="D36" s="23"/>
      <c r="E36" s="10">
        <v>290</v>
      </c>
      <c r="F36" s="11">
        <v>1</v>
      </c>
      <c r="G36" s="11">
        <v>1</v>
      </c>
      <c r="H36" s="10" t="e">
        <f>#REF!*#REF!</f>
        <v>#REF!</v>
      </c>
    </row>
    <row r="37" spans="2:14" x14ac:dyDescent="0.2">
      <c r="B37" s="7">
        <v>2.1</v>
      </c>
      <c r="C37" s="23" t="s">
        <v>19</v>
      </c>
      <c r="D37" s="23"/>
      <c r="E37" s="10">
        <v>340</v>
      </c>
      <c r="F37" s="11">
        <v>1</v>
      </c>
      <c r="G37" s="11">
        <v>1</v>
      </c>
      <c r="H37" s="10" t="e">
        <f>#REF!*#REF!</f>
        <v>#REF!</v>
      </c>
    </row>
    <row r="38" spans="2:14" x14ac:dyDescent="0.2">
      <c r="B38" s="7">
        <v>2.11</v>
      </c>
      <c r="C38" s="23" t="s">
        <v>20</v>
      </c>
      <c r="D38" s="23"/>
      <c r="E38" s="10">
        <v>400</v>
      </c>
      <c r="F38" s="11">
        <v>1</v>
      </c>
      <c r="G38" s="11">
        <v>1</v>
      </c>
      <c r="H38" s="10" t="e">
        <f>#REF!*#REF!</f>
        <v>#REF!</v>
      </c>
    </row>
    <row r="39" spans="2:14" x14ac:dyDescent="0.2">
      <c r="B39" s="7">
        <v>2.12</v>
      </c>
      <c r="C39" s="23" t="s">
        <v>21</v>
      </c>
      <c r="D39" s="23"/>
      <c r="E39" s="10">
        <v>1385</v>
      </c>
      <c r="F39" s="11">
        <v>1</v>
      </c>
      <c r="G39" s="11">
        <v>1</v>
      </c>
      <c r="H39" s="10" t="e">
        <f>#REF!*#REF!</f>
        <v>#REF!</v>
      </c>
    </row>
    <row r="40" spans="2:14" x14ac:dyDescent="0.2">
      <c r="B40" s="7">
        <v>2.13</v>
      </c>
      <c r="C40" s="23" t="s">
        <v>21</v>
      </c>
      <c r="D40" s="23"/>
      <c r="E40" s="10"/>
      <c r="F40" s="11">
        <v>1</v>
      </c>
      <c r="G40" s="11">
        <v>1</v>
      </c>
      <c r="H40" s="10"/>
    </row>
    <row r="41" spans="2:14" s="20" customFormat="1" ht="15" x14ac:dyDescent="0.25">
      <c r="B41" s="15"/>
      <c r="C41" s="16" t="s">
        <v>22</v>
      </c>
      <c r="D41" s="16"/>
      <c r="E41" s="17">
        <v>6945</v>
      </c>
      <c r="F41" s="11"/>
      <c r="G41" s="19"/>
      <c r="H41" s="17" t="e">
        <f>#REF!*#REF!</f>
        <v>#REF!</v>
      </c>
    </row>
    <row r="42" spans="2:14" ht="15" x14ac:dyDescent="0.2">
      <c r="B42" s="21">
        <v>3</v>
      </c>
      <c r="C42" s="109" t="s">
        <v>23</v>
      </c>
      <c r="D42" s="110"/>
      <c r="E42" s="110"/>
      <c r="F42" s="110"/>
      <c r="G42" s="110"/>
      <c r="H42" s="111"/>
    </row>
    <row r="43" spans="2:14" s="20" customFormat="1" ht="15" x14ac:dyDescent="0.25">
      <c r="B43" s="15"/>
      <c r="C43" s="16" t="s">
        <v>24</v>
      </c>
      <c r="D43" s="16"/>
      <c r="E43" s="17">
        <v>455</v>
      </c>
      <c r="F43" s="18" t="e">
        <f>AVERAGE(#REF!)</f>
        <v>#REF!</v>
      </c>
      <c r="G43" s="19">
        <v>1</v>
      </c>
      <c r="H43" s="17" t="e">
        <f>SUM(#REF!)</f>
        <v>#REF!</v>
      </c>
    </row>
    <row r="44" spans="2:14" s="20" customFormat="1" ht="15" x14ac:dyDescent="0.25">
      <c r="B44" s="25"/>
      <c r="C44" s="26"/>
      <c r="D44" s="26"/>
      <c r="E44" s="27"/>
      <c r="F44" s="28"/>
      <c r="G44" s="11">
        <v>1</v>
      </c>
      <c r="H44" s="29"/>
    </row>
    <row r="45" spans="2:14" s="20" customFormat="1" ht="15" x14ac:dyDescent="0.25">
      <c r="B45" s="15"/>
      <c r="C45" s="16" t="s">
        <v>25</v>
      </c>
      <c r="D45" s="16"/>
      <c r="E45" s="17">
        <v>292</v>
      </c>
      <c r="F45" s="18">
        <v>0</v>
      </c>
      <c r="G45" s="19">
        <v>1</v>
      </c>
      <c r="H45" s="17" t="e">
        <f>#REF!*#REF!</f>
        <v>#REF!</v>
      </c>
    </row>
    <row r="46" spans="2:14" ht="15" x14ac:dyDescent="0.25">
      <c r="B46" s="7"/>
      <c r="C46" s="26"/>
      <c r="D46" s="26"/>
      <c r="E46" s="27"/>
      <c r="F46" s="11"/>
      <c r="G46" s="11">
        <v>1</v>
      </c>
      <c r="H46" s="29"/>
    </row>
    <row r="47" spans="2:14" ht="15" x14ac:dyDescent="0.25">
      <c r="B47" s="30"/>
      <c r="C47" s="16" t="s">
        <v>26</v>
      </c>
      <c r="D47" s="16"/>
      <c r="E47" s="17">
        <v>6405</v>
      </c>
      <c r="F47" s="18" t="e">
        <f>AVERAGE(#REF!)</f>
        <v>#REF!</v>
      </c>
      <c r="G47" s="19">
        <v>1</v>
      </c>
      <c r="H47" s="17" t="e">
        <f>#REF!*#REF!</f>
        <v>#REF!</v>
      </c>
    </row>
    <row r="48" spans="2:14" ht="15" x14ac:dyDescent="0.25">
      <c r="B48" s="7"/>
      <c r="C48" s="26"/>
      <c r="D48" s="26"/>
      <c r="E48" s="27"/>
      <c r="F48" s="28"/>
      <c r="G48" s="11">
        <v>1</v>
      </c>
      <c r="H48" s="29"/>
    </row>
    <row r="49" spans="2:8" ht="15" x14ac:dyDescent="0.25">
      <c r="B49" s="7">
        <v>8</v>
      </c>
      <c r="C49" s="26" t="s">
        <v>27</v>
      </c>
      <c r="D49" s="26"/>
      <c r="E49" s="27" t="e">
        <f>E26+E41+#REF!+E43+E45+E47</f>
        <v>#REF!</v>
      </c>
      <c r="F49" s="31" t="s">
        <v>28</v>
      </c>
      <c r="G49" s="11">
        <v>1</v>
      </c>
      <c r="H49" s="27" t="e">
        <f>H26+H41+#REF!+H43+H45+H47</f>
        <v>#REF!</v>
      </c>
    </row>
    <row r="50" spans="2:8" ht="103.5" customHeight="1" x14ac:dyDescent="0.2">
      <c r="B50" s="7">
        <v>9</v>
      </c>
      <c r="C50" s="32" t="s">
        <v>29</v>
      </c>
      <c r="D50" s="32"/>
      <c r="E50" s="33">
        <v>3040</v>
      </c>
      <c r="F50" s="34" t="s">
        <v>28</v>
      </c>
      <c r="G50" s="11">
        <v>1</v>
      </c>
      <c r="H50" s="33" t="e">
        <f>H49*0.1</f>
        <v>#REF!</v>
      </c>
    </row>
    <row r="51" spans="2:8" ht="70.5" customHeight="1" x14ac:dyDescent="0.2">
      <c r="B51" s="7">
        <v>10</v>
      </c>
      <c r="C51" s="32" t="s">
        <v>30</v>
      </c>
      <c r="D51" s="32"/>
      <c r="E51" s="33">
        <v>5470</v>
      </c>
      <c r="F51" s="35" t="s">
        <v>28</v>
      </c>
      <c r="G51" s="11">
        <v>1</v>
      </c>
      <c r="H51" s="33" t="e">
        <f>(H49+H50)*0.18</f>
        <v>#REF!</v>
      </c>
    </row>
    <row r="52" spans="2:8" ht="15" x14ac:dyDescent="0.25">
      <c r="B52" s="7">
        <v>11</v>
      </c>
      <c r="C52" s="26" t="s">
        <v>31</v>
      </c>
      <c r="D52" s="26"/>
      <c r="E52" s="27" t="e">
        <f>E49+E50+E51</f>
        <v>#REF!</v>
      </c>
      <c r="F52" s="36" t="s">
        <v>28</v>
      </c>
      <c r="G52" s="11">
        <v>1</v>
      </c>
      <c r="H52" s="27" t="e">
        <f>H49+H50+H51</f>
        <v>#REF!</v>
      </c>
    </row>
    <row r="53" spans="2:8" ht="15" x14ac:dyDescent="0.25">
      <c r="B53" s="7"/>
      <c r="C53" s="26" t="s">
        <v>32</v>
      </c>
      <c r="D53" s="37"/>
      <c r="E53" s="112" t="e">
        <f>E52+#REF!</f>
        <v>#REF!</v>
      </c>
      <c r="F53" s="113"/>
      <c r="G53" s="11">
        <v>1</v>
      </c>
      <c r="H53" s="29"/>
    </row>
    <row r="54" spans="2:8" x14ac:dyDescent="0.2">
      <c r="G54" s="11">
        <v>1</v>
      </c>
    </row>
    <row r="55" spans="2:8" x14ac:dyDescent="0.2">
      <c r="E55" s="38" t="e">
        <f>E49+4861</f>
        <v>#REF!</v>
      </c>
      <c r="F55" s="38" t="e">
        <f>E56</f>
        <v>#REF!</v>
      </c>
      <c r="G55" s="11">
        <v>1</v>
      </c>
    </row>
    <row r="56" spans="2:8" x14ac:dyDescent="0.2">
      <c r="E56" s="3" t="e">
        <f>E55*10%</f>
        <v>#REF!</v>
      </c>
      <c r="G56" s="11">
        <v>1</v>
      </c>
    </row>
    <row r="57" spans="2:8" x14ac:dyDescent="0.2">
      <c r="E57" s="38" t="e">
        <f>E55+E56</f>
        <v>#REF!</v>
      </c>
      <c r="G57" s="11">
        <v>1</v>
      </c>
    </row>
    <row r="59" spans="2:8" x14ac:dyDescent="0.2">
      <c r="E59" s="3" t="e">
        <f>E55*18%</f>
        <v>#REF!</v>
      </c>
    </row>
  </sheetData>
  <mergeCells count="4">
    <mergeCell ref="C6:H6"/>
    <mergeCell ref="C42:H42"/>
    <mergeCell ref="E53:F53"/>
    <mergeCell ref="C27:G27"/>
  </mergeCells>
  <conditionalFormatting sqref="F7:G25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{FF198AF6-E210-4D4F-BE7A-27C2E628347F}</x14:id>
        </ext>
      </extLst>
    </cfRule>
  </conditionalFormatting>
  <conditionalFormatting sqref="F43 F47 F26:G26 F45">
    <cfRule type="dataBar" priority="2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{5FC6C665-A508-424D-8222-EA0A86A904BC}</x14:id>
        </ext>
      </extLst>
    </cfRule>
  </conditionalFormatting>
  <conditionalFormatting sqref="F12:G12 G31 F14:F25">
    <cfRule type="dataBar" priority="2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{E1437BE2-F533-4CD0-B472-6D7E4E812186}</x14:id>
        </ext>
      </extLst>
    </cfRule>
  </conditionalFormatting>
  <conditionalFormatting sqref="F10:G10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{8ED10CB1-41C8-42B8-8255-6D9EE7CB8579}</x14:id>
        </ext>
      </extLst>
    </cfRule>
  </conditionalFormatting>
  <conditionalFormatting sqref="J7:L7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{93048DD4-44CD-4B04-B439-3B7E9BFD0A13}</x14:id>
        </ext>
      </extLst>
    </cfRule>
  </conditionalFormatting>
  <conditionalFormatting sqref="J8:L9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{F7E64E76-EF8E-4514-B43C-2E22A7E41F3E}</x14:id>
        </ext>
      </extLst>
    </cfRule>
  </conditionalFormatting>
  <conditionalFormatting sqref="F8:F9 F12 F10:G10 F14:F2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{AA442FEB-0F5D-45D9-83FA-E6141F47FEC1}</x14:id>
        </ext>
      </extLst>
    </cfRule>
  </conditionalFormatting>
  <conditionalFormatting sqref="F8:F9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{62A5EA5B-4C20-44B3-9BBD-FC4E6BB583D5}</x14:id>
        </ext>
      </extLst>
    </cfRule>
  </conditionalFormatting>
  <conditionalFormatting sqref="F13:G13 F11:G11 F15:G25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{B9734C4F-CA61-464A-8FEA-F9A2F72DF023}</x14:id>
        </ext>
      </extLst>
    </cfRule>
  </conditionalFormatting>
  <conditionalFormatting sqref="F7:G2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{6E862D42-FF75-4ACC-B74C-8B5DA6647D52}</x14:id>
        </ext>
      </extLst>
    </cfRule>
  </conditionalFormatting>
  <conditionalFormatting sqref="F10:G10 F8:F9 F12 F14:F25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{E8AA7B0A-E161-42A2-A110-5487F194D5EC}</x14:id>
        </ext>
      </extLst>
    </cfRule>
  </conditionalFormatting>
  <conditionalFormatting sqref="G8:G10 G12 G14:G25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{5C09C5CF-9083-4419-AEC2-A53D8B5A6E01}</x14:id>
        </ext>
      </extLst>
    </cfRule>
  </conditionalFormatting>
  <conditionalFormatting sqref="F7:G25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{B4562CE1-CC70-4C50-B348-155CB77B9FF4}</x14:id>
        </ext>
      </extLst>
    </cfRule>
  </conditionalFormatting>
  <conditionalFormatting sqref="F28:G28 F29:F41 G29:G40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{B6A23375-6516-4CCC-A227-858D5381804F}</x14:id>
        </ext>
      </extLst>
    </cfRule>
  </conditionalFormatting>
  <conditionalFormatting sqref="G31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{4793A51C-5A6E-4547-B968-7E0CB2508F4A}</x14:id>
        </ext>
      </extLst>
    </cfRule>
  </conditionalFormatting>
  <conditionalFormatting sqref="F8:G8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{641577BF-5F8A-4C76-A52E-6D8DD9C18A83}</x14:id>
        </ext>
      </extLst>
    </cfRule>
  </conditionalFormatting>
  <conditionalFormatting sqref="F12:G1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{58363955-D1DB-4839-95DB-B9B8CC68FFFD}</x14:id>
        </ext>
      </extLst>
    </cfRule>
  </conditionalFormatting>
  <conditionalFormatting sqref="F14:G1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{8AEBA3AB-51D8-45FC-95A4-7A43C5F237C8}</x14:id>
        </ext>
      </extLst>
    </cfRule>
  </conditionalFormatting>
  <conditionalFormatting sqref="F16:G1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{2A4FE5EC-2CCE-4D06-B83A-60D3B4E74A35}</x14:id>
        </ext>
      </extLst>
    </cfRule>
  </conditionalFormatting>
  <conditionalFormatting sqref="F18:G1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{FB835210-7D5A-4398-90E7-13E0F63D364E}</x14:id>
        </ext>
      </extLst>
    </cfRule>
  </conditionalFormatting>
  <conditionalFormatting sqref="F20:G20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{412AC9FA-CCA2-4B4F-9AEB-519436CE12F9}</x14:id>
        </ext>
      </extLst>
    </cfRule>
  </conditionalFormatting>
  <conditionalFormatting sqref="F22:G2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{082CF6A9-656F-4F75-B777-70D5533F8339}</x14:id>
        </ext>
      </extLst>
    </cfRule>
  </conditionalFormatting>
  <conditionalFormatting sqref="F24:G2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{C92F6EFE-81F9-40F4-99D9-84ADDEDB77B8}</x14:id>
        </ext>
      </extLst>
    </cfRule>
  </conditionalFormatting>
  <conditionalFormatting sqref="F29:G29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{229B2C58-1CF4-44D4-B662-7730AD38F770}</x14:id>
        </ext>
      </extLst>
    </cfRule>
  </conditionalFormatting>
  <conditionalFormatting sqref="F31:G3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{76A977C6-CB99-48A2-B4C2-14FBD7106FC7}</x14:id>
        </ext>
      </extLst>
    </cfRule>
  </conditionalFormatting>
  <conditionalFormatting sqref="F33:G3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{3E9FA62B-9CE0-454E-85BB-66B115DA44DE}</x14:id>
        </ext>
      </extLst>
    </cfRule>
  </conditionalFormatting>
  <conditionalFormatting sqref="F36:G3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{205055FA-C03B-4FC2-A763-D820DF7F3549}</x14:id>
        </ext>
      </extLst>
    </cfRule>
  </conditionalFormatting>
  <conditionalFormatting sqref="F38:G3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{0193642A-78F9-417F-AF34-D5CA80BEA40E}</x14:id>
        </ext>
      </extLst>
    </cfRule>
  </conditionalFormatting>
  <conditionalFormatting sqref="F40:G4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{BC154F95-5E12-42F7-B7CB-A8B5E6A1672B}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F198AF6-E210-4D4F-BE7A-27C2E62834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F7:G25</xm:sqref>
        </x14:conditionalFormatting>
        <x14:conditionalFormatting xmlns:xm="http://schemas.microsoft.com/office/excel/2006/main">
          <x14:cfRule type="dataBar" id="{5FC6C665-A508-424D-8222-EA0A86A904BC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F43 F47 F26:G26 F45</xm:sqref>
        </x14:conditionalFormatting>
        <x14:conditionalFormatting xmlns:xm="http://schemas.microsoft.com/office/excel/2006/main">
          <x14:cfRule type="dataBar" id="{E1437BE2-F533-4CD0-B472-6D7E4E81218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F12:G12 G31 F14:F25</xm:sqref>
        </x14:conditionalFormatting>
        <x14:conditionalFormatting xmlns:xm="http://schemas.microsoft.com/office/excel/2006/main">
          <x14:cfRule type="dataBar" id="{8ED10CB1-41C8-42B8-8255-6D9EE7CB85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F10:G10</xm:sqref>
        </x14:conditionalFormatting>
        <x14:conditionalFormatting xmlns:xm="http://schemas.microsoft.com/office/excel/2006/main">
          <x14:cfRule type="dataBar" id="{93048DD4-44CD-4B04-B439-3B7E9BFD0A1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J7:L7</xm:sqref>
        </x14:conditionalFormatting>
        <x14:conditionalFormatting xmlns:xm="http://schemas.microsoft.com/office/excel/2006/main">
          <x14:cfRule type="dataBar" id="{F7E64E76-EF8E-4514-B43C-2E22A7E41F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J8:L9</xm:sqref>
        </x14:conditionalFormatting>
        <x14:conditionalFormatting xmlns:xm="http://schemas.microsoft.com/office/excel/2006/main">
          <x14:cfRule type="dataBar" id="{AA442FEB-0F5D-45D9-83FA-E6141F47FEC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F8:F9 F12 F10:G10 F14:F25</xm:sqref>
        </x14:conditionalFormatting>
        <x14:conditionalFormatting xmlns:xm="http://schemas.microsoft.com/office/excel/2006/main">
          <x14:cfRule type="dataBar" id="{62A5EA5B-4C20-44B3-9BBD-FC4E6BB583D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F8:F9</xm:sqref>
        </x14:conditionalFormatting>
        <x14:conditionalFormatting xmlns:xm="http://schemas.microsoft.com/office/excel/2006/main">
          <x14:cfRule type="dataBar" id="{B9734C4F-CA61-464A-8FEA-F9A2F72DF02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F13:G13 F11:G11 F15:G25</xm:sqref>
        </x14:conditionalFormatting>
        <x14:conditionalFormatting xmlns:xm="http://schemas.microsoft.com/office/excel/2006/main">
          <x14:cfRule type="dataBar" id="{6E862D42-FF75-4ACC-B74C-8B5DA6647D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F7:G25</xm:sqref>
        </x14:conditionalFormatting>
        <x14:conditionalFormatting xmlns:xm="http://schemas.microsoft.com/office/excel/2006/main">
          <x14:cfRule type="dataBar" id="{E8AA7B0A-E161-42A2-A110-5487F194D5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F10:G10 F8:F9 F12 F14:F25</xm:sqref>
        </x14:conditionalFormatting>
        <x14:conditionalFormatting xmlns:xm="http://schemas.microsoft.com/office/excel/2006/main">
          <x14:cfRule type="dataBar" id="{5C09C5CF-9083-4419-AEC2-A53D8B5A6E0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G8:G10 G12 G14:G25</xm:sqref>
        </x14:conditionalFormatting>
        <x14:conditionalFormatting xmlns:xm="http://schemas.microsoft.com/office/excel/2006/main">
          <x14:cfRule type="dataBar" id="{B4562CE1-CC70-4C50-B348-155CB77B9F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F7:G25</xm:sqref>
        </x14:conditionalFormatting>
        <x14:conditionalFormatting xmlns:xm="http://schemas.microsoft.com/office/excel/2006/main">
          <x14:cfRule type="dataBar" id="{B6A23375-6516-4CCC-A227-858D5381804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F28:G28 F29:F41 G29:G40</xm:sqref>
        </x14:conditionalFormatting>
        <x14:conditionalFormatting xmlns:xm="http://schemas.microsoft.com/office/excel/2006/main">
          <x14:cfRule type="dataBar" id="{4793A51C-5A6E-4547-B968-7E0CB2508F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641577BF-5F8A-4C76-A52E-6D8DD9C18A8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F8:G8</xm:sqref>
        </x14:conditionalFormatting>
        <x14:conditionalFormatting xmlns:xm="http://schemas.microsoft.com/office/excel/2006/main">
          <x14:cfRule type="dataBar" id="{58363955-D1DB-4839-95DB-B9B8CC68FF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F12:G12</xm:sqref>
        </x14:conditionalFormatting>
        <x14:conditionalFormatting xmlns:xm="http://schemas.microsoft.com/office/excel/2006/main">
          <x14:cfRule type="dataBar" id="{8AEBA3AB-51D8-45FC-95A4-7A43C5F237C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F14:G14</xm:sqref>
        </x14:conditionalFormatting>
        <x14:conditionalFormatting xmlns:xm="http://schemas.microsoft.com/office/excel/2006/main">
          <x14:cfRule type="dataBar" id="{2A4FE5EC-2CCE-4D06-B83A-60D3B4E74A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F16:G16</xm:sqref>
        </x14:conditionalFormatting>
        <x14:conditionalFormatting xmlns:xm="http://schemas.microsoft.com/office/excel/2006/main">
          <x14:cfRule type="dataBar" id="{FB835210-7D5A-4398-90E7-13E0F63D36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F18:G18</xm:sqref>
        </x14:conditionalFormatting>
        <x14:conditionalFormatting xmlns:xm="http://schemas.microsoft.com/office/excel/2006/main">
          <x14:cfRule type="dataBar" id="{412AC9FA-CCA2-4B4F-9AEB-519436CE12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F20:G20</xm:sqref>
        </x14:conditionalFormatting>
        <x14:conditionalFormatting xmlns:xm="http://schemas.microsoft.com/office/excel/2006/main">
          <x14:cfRule type="dataBar" id="{082CF6A9-656F-4F75-B777-70D5533F83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F22:G22</xm:sqref>
        </x14:conditionalFormatting>
        <x14:conditionalFormatting xmlns:xm="http://schemas.microsoft.com/office/excel/2006/main">
          <x14:cfRule type="dataBar" id="{C92F6EFE-81F9-40F4-99D9-84ADDEDB77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F24:G24</xm:sqref>
        </x14:conditionalFormatting>
        <x14:conditionalFormatting xmlns:xm="http://schemas.microsoft.com/office/excel/2006/main">
          <x14:cfRule type="dataBar" id="{229B2C58-1CF4-44D4-B662-7730AD38F7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F29:G29</xm:sqref>
        </x14:conditionalFormatting>
        <x14:conditionalFormatting xmlns:xm="http://schemas.microsoft.com/office/excel/2006/main">
          <x14:cfRule type="dataBar" id="{76A977C6-CB99-48A2-B4C2-14FBD7106FC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F31:G31</xm:sqref>
        </x14:conditionalFormatting>
        <x14:conditionalFormatting xmlns:xm="http://schemas.microsoft.com/office/excel/2006/main">
          <x14:cfRule type="dataBar" id="{3E9FA62B-9CE0-454E-85BB-66B115DA44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F33:G33</xm:sqref>
        </x14:conditionalFormatting>
        <x14:conditionalFormatting xmlns:xm="http://schemas.microsoft.com/office/excel/2006/main">
          <x14:cfRule type="dataBar" id="{205055FA-C03B-4FC2-A763-D820DF7F35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F36:G36</xm:sqref>
        </x14:conditionalFormatting>
        <x14:conditionalFormatting xmlns:xm="http://schemas.microsoft.com/office/excel/2006/main">
          <x14:cfRule type="dataBar" id="{0193642A-78F9-417F-AF34-D5CA80BEA4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F38:G38</xm:sqref>
        </x14:conditionalFormatting>
        <x14:conditionalFormatting xmlns:xm="http://schemas.microsoft.com/office/excel/2006/main">
          <x14:cfRule type="dataBar" id="{BC154F95-5E12-42F7-B7CB-A8B5E6A167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F40:G40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DBC6-EAD3-43E3-9B28-85E3358218B1}">
  <dimension ref="B3:L37"/>
  <sheetViews>
    <sheetView topLeftCell="A13" zoomScaleNormal="100" workbookViewId="0">
      <selection activeCell="J25" sqref="J25"/>
    </sheetView>
  </sheetViews>
  <sheetFormatPr defaultRowHeight="15" x14ac:dyDescent="0.25"/>
  <cols>
    <col min="1" max="1" width="9.140625" style="87"/>
    <col min="2" max="2" width="6.42578125" style="87" bestFit="1" customWidth="1"/>
    <col min="3" max="3" width="22.140625" style="87" customWidth="1"/>
    <col min="4" max="4" width="60.7109375" style="99" bestFit="1" customWidth="1"/>
    <col min="5" max="5" width="38.5703125" style="99" bestFit="1" customWidth="1"/>
    <col min="6" max="6" width="12.85546875" style="87" bestFit="1" customWidth="1"/>
    <col min="7" max="7" width="17.85546875" style="87" bestFit="1" customWidth="1"/>
    <col min="8" max="8" width="11.140625" style="87" bestFit="1" customWidth="1"/>
    <col min="9" max="9" width="14.5703125" style="94" bestFit="1" customWidth="1"/>
    <col min="10" max="10" width="30.28515625" style="94" bestFit="1" customWidth="1"/>
    <col min="11" max="11" width="20.140625" style="94" bestFit="1" customWidth="1"/>
    <col min="12" max="12" width="26.42578125" style="94" bestFit="1" customWidth="1"/>
    <col min="13" max="13" width="10.85546875" style="87" bestFit="1" customWidth="1"/>
    <col min="14" max="14" width="6" style="87" bestFit="1" customWidth="1"/>
    <col min="15" max="16384" width="9.140625" style="87"/>
  </cols>
  <sheetData>
    <row r="3" spans="2:12" ht="31.5" x14ac:dyDescent="0.25">
      <c r="B3" s="102" t="s">
        <v>57</v>
      </c>
      <c r="C3" s="103" t="s">
        <v>58</v>
      </c>
      <c r="D3" s="103" t="s">
        <v>2</v>
      </c>
      <c r="E3" s="103" t="s">
        <v>59</v>
      </c>
      <c r="F3" s="102" t="s">
        <v>60</v>
      </c>
      <c r="G3" s="102" t="s">
        <v>240</v>
      </c>
      <c r="H3" s="102" t="s">
        <v>61</v>
      </c>
      <c r="I3" s="104" t="s">
        <v>62</v>
      </c>
      <c r="J3" s="105" t="s">
        <v>112</v>
      </c>
      <c r="K3" s="86" t="s">
        <v>63</v>
      </c>
      <c r="L3" s="86" t="s">
        <v>64</v>
      </c>
    </row>
    <row r="4" spans="2:12" ht="30" x14ac:dyDescent="0.25">
      <c r="B4" s="88">
        <v>1</v>
      </c>
      <c r="C4" s="89" t="s">
        <v>65</v>
      </c>
      <c r="D4" s="90" t="s">
        <v>66</v>
      </c>
      <c r="E4" s="91" t="s">
        <v>67</v>
      </c>
      <c r="F4" s="92">
        <v>44145</v>
      </c>
      <c r="G4" s="88">
        <v>9014016</v>
      </c>
      <c r="H4" s="88">
        <v>1</v>
      </c>
      <c r="I4" s="93">
        <f>(144000*78.7)+(608000*88.65)</f>
        <v>65232000</v>
      </c>
      <c r="J4" s="93">
        <f>(144000*78.7)+(608000*88.65)</f>
        <v>65232000</v>
      </c>
      <c r="K4" s="94">
        <f>J4*1.18</f>
        <v>76973760</v>
      </c>
      <c r="L4" s="94">
        <f>K4-J4</f>
        <v>11741760</v>
      </c>
    </row>
    <row r="5" spans="2:12" x14ac:dyDescent="0.25">
      <c r="B5" s="88">
        <v>2</v>
      </c>
      <c r="C5" s="120" t="s">
        <v>71</v>
      </c>
      <c r="D5" s="90" t="s">
        <v>72</v>
      </c>
      <c r="E5" s="91" t="s">
        <v>73</v>
      </c>
      <c r="F5" s="92">
        <v>44308</v>
      </c>
      <c r="G5" s="88" t="s">
        <v>241</v>
      </c>
      <c r="H5" s="88">
        <v>1</v>
      </c>
      <c r="I5" s="93">
        <f>723430*1.18</f>
        <v>853647.39999999991</v>
      </c>
      <c r="J5" s="123">
        <f>SUM(I5:I8)+(12000*1.18)</f>
        <v>1214348.6199999999</v>
      </c>
      <c r="K5" s="95"/>
      <c r="L5" s="95" t="e">
        <f>#REF!+K4</f>
        <v>#REF!</v>
      </c>
    </row>
    <row r="6" spans="2:12" x14ac:dyDescent="0.25">
      <c r="B6" s="88">
        <v>3</v>
      </c>
      <c r="C6" s="121"/>
      <c r="D6" s="90" t="s">
        <v>74</v>
      </c>
      <c r="E6" s="91" t="s">
        <v>73</v>
      </c>
      <c r="F6" s="92">
        <v>44308</v>
      </c>
      <c r="G6" s="88" t="s">
        <v>241</v>
      </c>
      <c r="H6" s="88">
        <v>1</v>
      </c>
      <c r="I6" s="93">
        <f>197100*1.18</f>
        <v>232578</v>
      </c>
      <c r="J6" s="123"/>
      <c r="K6" s="95"/>
      <c r="L6" s="95"/>
    </row>
    <row r="7" spans="2:12" x14ac:dyDescent="0.25">
      <c r="B7" s="88">
        <v>4</v>
      </c>
      <c r="C7" s="121"/>
      <c r="D7" s="90" t="s">
        <v>75</v>
      </c>
      <c r="E7" s="91" t="s">
        <v>73</v>
      </c>
      <c r="F7" s="92">
        <v>44308</v>
      </c>
      <c r="G7" s="88" t="s">
        <v>241</v>
      </c>
      <c r="H7" s="88">
        <v>1</v>
      </c>
      <c r="I7" s="93">
        <f>75555*1.18</f>
        <v>89154.9</v>
      </c>
      <c r="J7" s="123"/>
      <c r="K7" s="95"/>
      <c r="L7" s="95"/>
    </row>
    <row r="8" spans="2:12" x14ac:dyDescent="0.25">
      <c r="B8" s="88">
        <v>5</v>
      </c>
      <c r="C8" s="122"/>
      <c r="D8" s="90" t="s">
        <v>76</v>
      </c>
      <c r="E8" s="91" t="s">
        <v>73</v>
      </c>
      <c r="F8" s="92">
        <v>44308</v>
      </c>
      <c r="G8" s="88" t="s">
        <v>241</v>
      </c>
      <c r="H8" s="88">
        <v>1</v>
      </c>
      <c r="I8" s="93">
        <f>21024*1.18</f>
        <v>24808.32</v>
      </c>
      <c r="J8" s="123"/>
      <c r="K8" s="95"/>
      <c r="L8" s="95"/>
    </row>
    <row r="9" spans="2:12" x14ac:dyDescent="0.25">
      <c r="B9" s="88">
        <v>6</v>
      </c>
      <c r="C9" s="89" t="s">
        <v>77</v>
      </c>
      <c r="D9" s="90" t="s">
        <v>78</v>
      </c>
      <c r="E9" s="91" t="s">
        <v>79</v>
      </c>
      <c r="F9" s="92">
        <v>44320</v>
      </c>
      <c r="G9" s="88" t="s">
        <v>242</v>
      </c>
      <c r="H9" s="88">
        <v>1</v>
      </c>
      <c r="I9" s="93">
        <f>960000*1.18</f>
        <v>1132800</v>
      </c>
      <c r="J9" s="93">
        <v>1132800</v>
      </c>
    </row>
    <row r="10" spans="2:12" x14ac:dyDescent="0.25">
      <c r="B10" s="88">
        <v>7</v>
      </c>
      <c r="C10" s="89" t="s">
        <v>80</v>
      </c>
      <c r="D10" s="90" t="s">
        <v>81</v>
      </c>
      <c r="E10" s="91" t="s">
        <v>82</v>
      </c>
      <c r="F10" s="92">
        <v>44286</v>
      </c>
      <c r="G10" s="88" t="s">
        <v>243</v>
      </c>
      <c r="H10" s="88">
        <v>1</v>
      </c>
      <c r="I10" s="93">
        <f>1355932*1.18</f>
        <v>1599999.76</v>
      </c>
      <c r="J10" s="93">
        <f>1355932*1.18</f>
        <v>1599999.76</v>
      </c>
    </row>
    <row r="11" spans="2:12" ht="30" x14ac:dyDescent="0.25">
      <c r="B11" s="88">
        <v>8</v>
      </c>
      <c r="C11" s="89" t="s">
        <v>83</v>
      </c>
      <c r="D11" s="90" t="s">
        <v>84</v>
      </c>
      <c r="E11" s="91" t="s">
        <v>85</v>
      </c>
      <c r="F11" s="92">
        <v>44350</v>
      </c>
      <c r="G11" s="88" t="s">
        <v>244</v>
      </c>
      <c r="H11" s="88">
        <v>2</v>
      </c>
      <c r="I11" s="124">
        <f>(11319*73.25)+(26411*73.2)</f>
        <v>2762401.95</v>
      </c>
      <c r="J11" s="124">
        <f>(11319*73.25)+(26411*73.2)</f>
        <v>2762401.95</v>
      </c>
    </row>
    <row r="12" spans="2:12" ht="30" x14ac:dyDescent="0.25">
      <c r="B12" s="88">
        <v>9</v>
      </c>
      <c r="C12" s="89" t="s">
        <v>86</v>
      </c>
      <c r="D12" s="90" t="s">
        <v>87</v>
      </c>
      <c r="E12" s="91" t="s">
        <v>85</v>
      </c>
      <c r="F12" s="92">
        <v>44350</v>
      </c>
      <c r="G12" s="88" t="s">
        <v>244</v>
      </c>
      <c r="H12" s="88">
        <v>6</v>
      </c>
      <c r="I12" s="125"/>
      <c r="J12" s="125"/>
    </row>
    <row r="13" spans="2:12" x14ac:dyDescent="0.25">
      <c r="B13" s="88">
        <v>10</v>
      </c>
      <c r="C13" s="89" t="s">
        <v>88</v>
      </c>
      <c r="D13" s="90" t="s">
        <v>89</v>
      </c>
      <c r="E13" s="91" t="s">
        <v>90</v>
      </c>
      <c r="F13" s="92">
        <v>44259</v>
      </c>
      <c r="G13" s="88">
        <v>20201836</v>
      </c>
      <c r="H13" s="88">
        <v>1</v>
      </c>
      <c r="I13" s="93">
        <f>430000*1.18</f>
        <v>507400</v>
      </c>
      <c r="J13" s="93">
        <v>507400</v>
      </c>
    </row>
    <row r="14" spans="2:12" x14ac:dyDescent="0.25">
      <c r="B14" s="88">
        <v>11</v>
      </c>
      <c r="C14" s="96" t="s">
        <v>91</v>
      </c>
      <c r="D14" s="90" t="s">
        <v>92</v>
      </c>
      <c r="E14" s="91" t="s">
        <v>93</v>
      </c>
      <c r="F14" s="92">
        <v>44271</v>
      </c>
      <c r="G14" s="88">
        <v>214</v>
      </c>
      <c r="H14" s="88">
        <v>1066</v>
      </c>
      <c r="I14" s="93">
        <f>563850*1.18</f>
        <v>665343</v>
      </c>
      <c r="J14" s="93">
        <f>563850*1.18</f>
        <v>665343</v>
      </c>
    </row>
    <row r="15" spans="2:12" x14ac:dyDescent="0.25">
      <c r="B15" s="88">
        <v>12</v>
      </c>
      <c r="C15" s="89" t="s">
        <v>94</v>
      </c>
      <c r="D15" s="90" t="s">
        <v>95</v>
      </c>
      <c r="E15" s="91" t="s">
        <v>96</v>
      </c>
      <c r="F15" s="92">
        <v>44295</v>
      </c>
      <c r="G15" s="88" t="s">
        <v>245</v>
      </c>
      <c r="H15" s="88">
        <v>1</v>
      </c>
      <c r="I15" s="93">
        <f>566800*1.18</f>
        <v>668824</v>
      </c>
      <c r="J15" s="123">
        <f>SUM(I15:I16)+(7000*1.18)+888</f>
        <v>889664</v>
      </c>
      <c r="K15" s="95"/>
      <c r="L15" s="95"/>
    </row>
    <row r="16" spans="2:12" x14ac:dyDescent="0.25">
      <c r="B16" s="88">
        <v>13</v>
      </c>
      <c r="C16" s="89" t="s">
        <v>97</v>
      </c>
      <c r="D16" s="90" t="s">
        <v>98</v>
      </c>
      <c r="E16" s="91" t="s">
        <v>96</v>
      </c>
      <c r="F16" s="92">
        <v>44295</v>
      </c>
      <c r="G16" s="88" t="s">
        <v>245</v>
      </c>
      <c r="H16" s="88">
        <v>2</v>
      </c>
      <c r="I16" s="93">
        <f>179400*1.18</f>
        <v>211692</v>
      </c>
      <c r="J16" s="123"/>
      <c r="K16" s="95"/>
      <c r="L16" s="95"/>
    </row>
    <row r="17" spans="2:12" x14ac:dyDescent="0.25">
      <c r="B17" s="88">
        <v>14</v>
      </c>
      <c r="C17" s="89" t="s">
        <v>97</v>
      </c>
      <c r="D17" s="90" t="s">
        <v>99</v>
      </c>
      <c r="E17" s="91" t="s">
        <v>96</v>
      </c>
      <c r="F17" s="92">
        <v>44295</v>
      </c>
      <c r="G17" s="88" t="s">
        <v>246</v>
      </c>
      <c r="H17" s="88">
        <v>1</v>
      </c>
      <c r="I17" s="93">
        <f>100500*1.18</f>
        <v>118590</v>
      </c>
      <c r="J17" s="123">
        <f>SUM(I17:I18)+(4000*1.18)+232</f>
        <v>232574</v>
      </c>
      <c r="K17" s="95"/>
      <c r="L17" s="95"/>
    </row>
    <row r="18" spans="2:12" x14ac:dyDescent="0.25">
      <c r="B18" s="88">
        <v>15</v>
      </c>
      <c r="C18" s="89" t="s">
        <v>97</v>
      </c>
      <c r="D18" s="90" t="s">
        <v>100</v>
      </c>
      <c r="E18" s="91" t="s">
        <v>96</v>
      </c>
      <c r="F18" s="92">
        <v>44295</v>
      </c>
      <c r="G18" s="88" t="s">
        <v>246</v>
      </c>
      <c r="H18" s="88">
        <v>1</v>
      </c>
      <c r="I18" s="93">
        <f>92400*1.18</f>
        <v>109032</v>
      </c>
      <c r="J18" s="123"/>
      <c r="K18" s="95"/>
      <c r="L18" s="95"/>
    </row>
    <row r="19" spans="2:12" x14ac:dyDescent="0.25">
      <c r="B19" s="117" t="s">
        <v>101</v>
      </c>
      <c r="C19" s="118"/>
      <c r="D19" s="118"/>
      <c r="E19" s="118"/>
      <c r="F19" s="118"/>
      <c r="G19" s="118"/>
      <c r="H19" s="118"/>
      <c r="I19" s="119"/>
      <c r="J19" s="97">
        <f>SUM(J4:J18)</f>
        <v>74236531.330000013</v>
      </c>
      <c r="K19" s="98"/>
      <c r="L19" s="98"/>
    </row>
    <row r="21" spans="2:12" x14ac:dyDescent="0.25">
      <c r="I21" s="93" t="s">
        <v>102</v>
      </c>
      <c r="J21" s="93">
        <f>SUM(J25+J5+J9+J10+J13+J14+J15+J17)</f>
        <v>7504042.3799999999</v>
      </c>
    </row>
    <row r="22" spans="2:12" x14ac:dyDescent="0.25">
      <c r="E22" s="100"/>
      <c r="F22" s="94"/>
      <c r="G22" s="94"/>
      <c r="I22" s="93" t="s">
        <v>103</v>
      </c>
      <c r="J22" s="93">
        <f>SUM(J4+J11+J12)</f>
        <v>67994401.950000003</v>
      </c>
    </row>
    <row r="23" spans="2:12" x14ac:dyDescent="0.25">
      <c r="E23" s="100"/>
    </row>
    <row r="24" spans="2:12" x14ac:dyDescent="0.25">
      <c r="E24" s="100"/>
    </row>
    <row r="25" spans="2:12" x14ac:dyDescent="0.25">
      <c r="C25" s="89" t="s">
        <v>68</v>
      </c>
      <c r="D25" s="90" t="s">
        <v>69</v>
      </c>
      <c r="E25" s="91" t="s">
        <v>70</v>
      </c>
      <c r="F25" s="92">
        <v>44440</v>
      </c>
      <c r="G25" s="88" t="s">
        <v>247</v>
      </c>
      <c r="H25" s="88">
        <v>1</v>
      </c>
      <c r="I25" s="93">
        <v>1261913</v>
      </c>
      <c r="J25" s="93">
        <v>1261913</v>
      </c>
    </row>
    <row r="26" spans="2:12" x14ac:dyDescent="0.25">
      <c r="E26" s="100"/>
    </row>
    <row r="27" spans="2:12" x14ac:dyDescent="0.25">
      <c r="E27" s="100"/>
    </row>
    <row r="28" spans="2:12" x14ac:dyDescent="0.25">
      <c r="E28" s="100"/>
    </row>
    <row r="29" spans="2:12" x14ac:dyDescent="0.25">
      <c r="E29" s="100"/>
    </row>
    <row r="30" spans="2:12" x14ac:dyDescent="0.25">
      <c r="E30" s="100"/>
    </row>
    <row r="31" spans="2:12" x14ac:dyDescent="0.25">
      <c r="E31" s="100"/>
    </row>
    <row r="32" spans="2:12" x14ac:dyDescent="0.25">
      <c r="E32" s="100"/>
    </row>
    <row r="33" spans="5:5" x14ac:dyDescent="0.25">
      <c r="E33" s="100"/>
    </row>
    <row r="34" spans="5:5" x14ac:dyDescent="0.25">
      <c r="E34" s="100"/>
    </row>
    <row r="35" spans="5:5" x14ac:dyDescent="0.25">
      <c r="E35" s="100"/>
    </row>
    <row r="36" spans="5:5" x14ac:dyDescent="0.25">
      <c r="E36" s="100"/>
    </row>
    <row r="37" spans="5:5" x14ac:dyDescent="0.25">
      <c r="E37" s="101"/>
    </row>
  </sheetData>
  <mergeCells count="7">
    <mergeCell ref="B19:I19"/>
    <mergeCell ref="C5:C8"/>
    <mergeCell ref="J5:J8"/>
    <mergeCell ref="I11:I12"/>
    <mergeCell ref="J11:J12"/>
    <mergeCell ref="J15:J16"/>
    <mergeCell ref="J17: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F59A-9F19-4A1A-9904-FA62D598BEA3}">
  <dimension ref="B3:K37"/>
  <sheetViews>
    <sheetView topLeftCell="B1" zoomScale="70" zoomScaleNormal="70" workbookViewId="0">
      <selection activeCell="D18" sqref="D18"/>
    </sheetView>
  </sheetViews>
  <sheetFormatPr defaultRowHeight="15" x14ac:dyDescent="0.25"/>
  <cols>
    <col min="1" max="1" width="9.140625" style="45"/>
    <col min="2" max="2" width="6.42578125" style="45" bestFit="1" customWidth="1"/>
    <col min="3" max="3" width="22.140625" style="45" hidden="1" customWidth="1"/>
    <col min="4" max="4" width="60.7109375" style="57" bestFit="1" customWidth="1"/>
    <col min="5" max="5" width="38.5703125" style="57" bestFit="1" customWidth="1"/>
    <col min="6" max="6" width="12.85546875" style="45" bestFit="1" customWidth="1"/>
    <col min="7" max="7" width="11.140625" style="45" bestFit="1" customWidth="1"/>
    <col min="8" max="8" width="14.5703125" style="52" bestFit="1" customWidth="1"/>
    <col min="9" max="9" width="30.28515625" style="52" bestFit="1" customWidth="1"/>
    <col min="10" max="10" width="20.140625" style="52" bestFit="1" customWidth="1"/>
    <col min="11" max="11" width="26.42578125" style="52" bestFit="1" customWidth="1"/>
    <col min="12" max="12" width="10.85546875" style="45" bestFit="1" customWidth="1"/>
    <col min="13" max="13" width="6" style="45" bestFit="1" customWidth="1"/>
    <col min="14" max="16384" width="9.140625" style="45"/>
  </cols>
  <sheetData>
    <row r="3" spans="2:11" ht="31.5" x14ac:dyDescent="0.25">
      <c r="B3" s="68" t="s">
        <v>57</v>
      </c>
      <c r="C3" s="69" t="s">
        <v>58</v>
      </c>
      <c r="D3" s="69" t="s">
        <v>2</v>
      </c>
      <c r="E3" s="69" t="s">
        <v>59</v>
      </c>
      <c r="F3" s="68" t="s">
        <v>60</v>
      </c>
      <c r="G3" s="68" t="s">
        <v>61</v>
      </c>
      <c r="H3" s="70" t="s">
        <v>62</v>
      </c>
      <c r="I3" s="71" t="s">
        <v>112</v>
      </c>
      <c r="J3" s="44" t="s">
        <v>63</v>
      </c>
      <c r="K3" s="44" t="s">
        <v>64</v>
      </c>
    </row>
    <row r="4" spans="2:11" ht="30" x14ac:dyDescent="0.25">
      <c r="B4" s="46">
        <v>1</v>
      </c>
      <c r="C4" s="47" t="s">
        <v>65</v>
      </c>
      <c r="D4" s="48" t="s">
        <v>66</v>
      </c>
      <c r="E4" s="49" t="s">
        <v>67</v>
      </c>
      <c r="F4" s="50">
        <v>44145</v>
      </c>
      <c r="G4" s="46">
        <v>1</v>
      </c>
      <c r="H4" s="51">
        <f>(144000*78.7)+(608000*88.65)</f>
        <v>65232000</v>
      </c>
      <c r="I4" s="51">
        <f>(144000*78.7)+(608000*88.65)</f>
        <v>65232000</v>
      </c>
      <c r="J4" s="52">
        <f>I4*1.18</f>
        <v>76973760</v>
      </c>
      <c r="K4" s="52">
        <f>J4-I4</f>
        <v>11741760</v>
      </c>
    </row>
    <row r="5" spans="2:11" x14ac:dyDescent="0.25">
      <c r="B5" s="46">
        <v>2</v>
      </c>
      <c r="C5" s="120" t="s">
        <v>71</v>
      </c>
      <c r="D5" s="48" t="s">
        <v>72</v>
      </c>
      <c r="E5" s="49" t="s">
        <v>73</v>
      </c>
      <c r="F5" s="50">
        <v>44308</v>
      </c>
      <c r="G5" s="46">
        <v>1</v>
      </c>
      <c r="H5" s="51">
        <f>723430*1.18</f>
        <v>853647.39999999991</v>
      </c>
      <c r="I5" s="126">
        <f>SUM(H5:H8)+(12000*1.18)</f>
        <v>1214348.6199999999</v>
      </c>
      <c r="J5" s="53"/>
      <c r="K5" s="53" t="e">
        <f>#REF!+J4</f>
        <v>#REF!</v>
      </c>
    </row>
    <row r="6" spans="2:11" x14ac:dyDescent="0.25">
      <c r="B6" s="46">
        <v>3</v>
      </c>
      <c r="C6" s="121"/>
      <c r="D6" s="48" t="s">
        <v>74</v>
      </c>
      <c r="E6" s="49" t="s">
        <v>73</v>
      </c>
      <c r="F6" s="50">
        <v>44308</v>
      </c>
      <c r="G6" s="46">
        <v>1</v>
      </c>
      <c r="H6" s="51">
        <f>197100*1.18</f>
        <v>232578</v>
      </c>
      <c r="I6" s="127"/>
      <c r="J6" s="53"/>
      <c r="K6" s="53"/>
    </row>
    <row r="7" spans="2:11" x14ac:dyDescent="0.25">
      <c r="B7" s="46">
        <v>4</v>
      </c>
      <c r="C7" s="121"/>
      <c r="D7" s="48" t="s">
        <v>75</v>
      </c>
      <c r="E7" s="49" t="s">
        <v>73</v>
      </c>
      <c r="F7" s="50">
        <v>44308</v>
      </c>
      <c r="G7" s="46">
        <v>1</v>
      </c>
      <c r="H7" s="51">
        <f>75555*1.18</f>
        <v>89154.9</v>
      </c>
      <c r="I7" s="127"/>
      <c r="J7" s="53"/>
      <c r="K7" s="53"/>
    </row>
    <row r="8" spans="2:11" x14ac:dyDescent="0.25">
      <c r="B8" s="46">
        <v>5</v>
      </c>
      <c r="C8" s="122"/>
      <c r="D8" s="48" t="s">
        <v>76</v>
      </c>
      <c r="E8" s="49" t="s">
        <v>73</v>
      </c>
      <c r="F8" s="50">
        <v>44308</v>
      </c>
      <c r="G8" s="46">
        <v>1</v>
      </c>
      <c r="H8" s="51">
        <f>21024*1.18</f>
        <v>24808.32</v>
      </c>
      <c r="I8" s="128"/>
      <c r="J8" s="53"/>
      <c r="K8" s="53"/>
    </row>
    <row r="9" spans="2:11" x14ac:dyDescent="0.25">
      <c r="B9" s="46">
        <v>6</v>
      </c>
      <c r="C9" s="47" t="s">
        <v>77</v>
      </c>
      <c r="D9" s="48" t="s">
        <v>78</v>
      </c>
      <c r="E9" s="49" t="s">
        <v>79</v>
      </c>
      <c r="F9" s="50">
        <v>44320</v>
      </c>
      <c r="G9" s="46">
        <v>1</v>
      </c>
      <c r="H9" s="51">
        <f>960000*1.18</f>
        <v>1132800</v>
      </c>
      <c r="I9" s="51">
        <v>1132800</v>
      </c>
    </row>
    <row r="10" spans="2:11" x14ac:dyDescent="0.25">
      <c r="B10" s="46">
        <v>7</v>
      </c>
      <c r="C10" s="47" t="s">
        <v>80</v>
      </c>
      <c r="D10" s="48" t="s">
        <v>81</v>
      </c>
      <c r="E10" s="49" t="s">
        <v>82</v>
      </c>
      <c r="F10" s="50">
        <v>44286</v>
      </c>
      <c r="G10" s="46">
        <v>1</v>
      </c>
      <c r="H10" s="51">
        <f>1355932*1.18</f>
        <v>1599999.76</v>
      </c>
      <c r="I10" s="51">
        <f>1355932*1.18</f>
        <v>1599999.76</v>
      </c>
    </row>
    <row r="11" spans="2:11" ht="30" x14ac:dyDescent="0.25">
      <c r="B11" s="46">
        <v>8</v>
      </c>
      <c r="C11" s="47" t="s">
        <v>83</v>
      </c>
      <c r="D11" s="48" t="s">
        <v>84</v>
      </c>
      <c r="E11" s="49" t="s">
        <v>85</v>
      </c>
      <c r="F11" s="50">
        <v>44350</v>
      </c>
      <c r="G11" s="46">
        <v>2</v>
      </c>
      <c r="H11" s="124">
        <f>(11319*73.25)+(26411*73.2)</f>
        <v>2762401.95</v>
      </c>
      <c r="I11" s="124">
        <f>(11319*73.25)+(26411*73.2)</f>
        <v>2762401.95</v>
      </c>
    </row>
    <row r="12" spans="2:11" ht="30" x14ac:dyDescent="0.25">
      <c r="B12" s="46">
        <v>9</v>
      </c>
      <c r="C12" s="47" t="s">
        <v>86</v>
      </c>
      <c r="D12" s="48" t="s">
        <v>87</v>
      </c>
      <c r="E12" s="49" t="s">
        <v>85</v>
      </c>
      <c r="F12" s="50">
        <v>44350</v>
      </c>
      <c r="G12" s="46">
        <v>6</v>
      </c>
      <c r="H12" s="125"/>
      <c r="I12" s="125"/>
    </row>
    <row r="13" spans="2:11" x14ac:dyDescent="0.25">
      <c r="B13" s="46">
        <v>10</v>
      </c>
      <c r="C13" s="47" t="s">
        <v>88</v>
      </c>
      <c r="D13" s="48" t="s">
        <v>89</v>
      </c>
      <c r="E13" s="49" t="s">
        <v>90</v>
      </c>
      <c r="F13" s="50">
        <v>44259</v>
      </c>
      <c r="G13" s="46">
        <v>1</v>
      </c>
      <c r="H13" s="51">
        <f>430000*1.18</f>
        <v>507400</v>
      </c>
      <c r="I13" s="51">
        <v>507400</v>
      </c>
    </row>
    <row r="14" spans="2:11" x14ac:dyDescent="0.25">
      <c r="B14" s="46">
        <v>11</v>
      </c>
      <c r="C14" s="54" t="s">
        <v>91</v>
      </c>
      <c r="D14" s="48" t="s">
        <v>92</v>
      </c>
      <c r="E14" s="49" t="s">
        <v>93</v>
      </c>
      <c r="F14" s="50">
        <v>44271</v>
      </c>
      <c r="G14" s="46">
        <v>1066</v>
      </c>
      <c r="H14" s="51">
        <f>563850*1.18</f>
        <v>665343</v>
      </c>
      <c r="I14" s="51">
        <f>563850*1.18</f>
        <v>665343</v>
      </c>
    </row>
    <row r="15" spans="2:11" x14ac:dyDescent="0.25">
      <c r="B15" s="46">
        <v>12</v>
      </c>
      <c r="C15" s="47" t="s">
        <v>94</v>
      </c>
      <c r="D15" s="48" t="s">
        <v>95</v>
      </c>
      <c r="E15" s="49" t="s">
        <v>96</v>
      </c>
      <c r="F15" s="50">
        <v>44295</v>
      </c>
      <c r="G15" s="46">
        <v>1</v>
      </c>
      <c r="H15" s="51">
        <f>566800*1.18</f>
        <v>668824</v>
      </c>
      <c r="I15" s="126">
        <f>SUM(H15:H16)+(7000*1.18)+888</f>
        <v>889664</v>
      </c>
      <c r="J15" s="53"/>
      <c r="K15" s="53"/>
    </row>
    <row r="16" spans="2:11" x14ac:dyDescent="0.25">
      <c r="B16" s="46">
        <v>13</v>
      </c>
      <c r="C16" s="47" t="s">
        <v>97</v>
      </c>
      <c r="D16" s="48" t="s">
        <v>98</v>
      </c>
      <c r="E16" s="49" t="s">
        <v>96</v>
      </c>
      <c r="F16" s="50">
        <v>44295</v>
      </c>
      <c r="G16" s="46">
        <v>2</v>
      </c>
      <c r="H16" s="51">
        <f>179400*1.18</f>
        <v>211692</v>
      </c>
      <c r="I16" s="128"/>
      <c r="J16" s="53"/>
      <c r="K16" s="53"/>
    </row>
    <row r="17" spans="2:11" x14ac:dyDescent="0.25">
      <c r="B17" s="46">
        <v>14</v>
      </c>
      <c r="C17" s="47" t="s">
        <v>97</v>
      </c>
      <c r="D17" s="48" t="s">
        <v>99</v>
      </c>
      <c r="E17" s="49" t="s">
        <v>96</v>
      </c>
      <c r="F17" s="50">
        <v>44295</v>
      </c>
      <c r="G17" s="46">
        <v>1</v>
      </c>
      <c r="H17" s="51">
        <f>100500*1.18</f>
        <v>118590</v>
      </c>
      <c r="I17" s="126">
        <f>SUM(H17:H18)+(4000*1.18)+232</f>
        <v>232574</v>
      </c>
      <c r="J17" s="53"/>
      <c r="K17" s="53"/>
    </row>
    <row r="18" spans="2:11" x14ac:dyDescent="0.25">
      <c r="B18" s="46">
        <v>15</v>
      </c>
      <c r="C18" s="47" t="s">
        <v>97</v>
      </c>
      <c r="D18" s="48" t="s">
        <v>100</v>
      </c>
      <c r="E18" s="49" t="s">
        <v>96</v>
      </c>
      <c r="F18" s="50">
        <v>44295</v>
      </c>
      <c r="G18" s="46">
        <v>1</v>
      </c>
      <c r="H18" s="51">
        <f>92400*1.18</f>
        <v>109032</v>
      </c>
      <c r="I18" s="128"/>
      <c r="J18" s="53"/>
      <c r="K18" s="53"/>
    </row>
    <row r="19" spans="2:11" x14ac:dyDescent="0.25">
      <c r="B19" s="117" t="s">
        <v>101</v>
      </c>
      <c r="C19" s="118"/>
      <c r="D19" s="118"/>
      <c r="E19" s="118"/>
      <c r="F19" s="118"/>
      <c r="G19" s="118"/>
      <c r="H19" s="119"/>
      <c r="I19" s="55">
        <f>SUM(I4:I18)</f>
        <v>74236531.330000013</v>
      </c>
      <c r="J19" s="56"/>
      <c r="K19" s="56"/>
    </row>
    <row r="21" spans="2:11" x14ac:dyDescent="0.25">
      <c r="H21" s="51" t="s">
        <v>102</v>
      </c>
      <c r="I21" s="51">
        <f>SUM(I25+I5+I9+I10+I13+I14+I15+I17)</f>
        <v>7504042.3799999999</v>
      </c>
    </row>
    <row r="22" spans="2:11" x14ac:dyDescent="0.25">
      <c r="E22" s="58"/>
      <c r="F22" s="52"/>
      <c r="H22" s="51" t="s">
        <v>103</v>
      </c>
      <c r="I22" s="51">
        <f>SUM(I4+I11+I12)</f>
        <v>67994401.950000003</v>
      </c>
    </row>
    <row r="23" spans="2:11" x14ac:dyDescent="0.25">
      <c r="E23" s="58"/>
    </row>
    <row r="24" spans="2:11" x14ac:dyDescent="0.25">
      <c r="E24" s="58"/>
    </row>
    <row r="25" spans="2:11" x14ac:dyDescent="0.25">
      <c r="C25" s="47" t="s">
        <v>68</v>
      </c>
      <c r="D25" s="48" t="s">
        <v>69</v>
      </c>
      <c r="E25" s="49" t="s">
        <v>70</v>
      </c>
      <c r="F25" s="50">
        <v>44440</v>
      </c>
      <c r="G25" s="46">
        <v>1</v>
      </c>
      <c r="H25" s="51">
        <v>1261913</v>
      </c>
      <c r="I25" s="51">
        <v>1261913</v>
      </c>
    </row>
    <row r="26" spans="2:11" x14ac:dyDescent="0.25">
      <c r="E26" s="58"/>
    </row>
    <row r="27" spans="2:11" x14ac:dyDescent="0.25">
      <c r="E27" s="58"/>
    </row>
    <row r="28" spans="2:11" x14ac:dyDescent="0.25">
      <c r="E28" s="58"/>
    </row>
    <row r="29" spans="2:11" x14ac:dyDescent="0.25">
      <c r="E29" s="58"/>
    </row>
    <row r="30" spans="2:11" x14ac:dyDescent="0.25">
      <c r="E30" s="58"/>
    </row>
    <row r="31" spans="2:11" x14ac:dyDescent="0.25">
      <c r="E31" s="58"/>
    </row>
    <row r="32" spans="2:11" x14ac:dyDescent="0.25">
      <c r="E32" s="58"/>
    </row>
    <row r="33" spans="5:5" x14ac:dyDescent="0.25">
      <c r="E33" s="58"/>
    </row>
    <row r="34" spans="5:5" x14ac:dyDescent="0.25">
      <c r="E34" s="58"/>
    </row>
    <row r="35" spans="5:5" x14ac:dyDescent="0.25">
      <c r="E35" s="58"/>
    </row>
    <row r="36" spans="5:5" x14ac:dyDescent="0.25">
      <c r="E36" s="58"/>
    </row>
    <row r="37" spans="5:5" x14ac:dyDescent="0.25">
      <c r="E37" s="59"/>
    </row>
  </sheetData>
  <mergeCells count="7">
    <mergeCell ref="B19:H19"/>
    <mergeCell ref="C5:C8"/>
    <mergeCell ref="I5:I8"/>
    <mergeCell ref="H11:H12"/>
    <mergeCell ref="I11:I12"/>
    <mergeCell ref="I15:I16"/>
    <mergeCell ref="I17:I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6281D-DE09-407A-93B5-648ED4506625}">
  <dimension ref="F3:R50"/>
  <sheetViews>
    <sheetView tabSelected="1" topLeftCell="A14" workbookViewId="0">
      <selection activeCell="R35" sqref="R35:S35"/>
    </sheetView>
  </sheetViews>
  <sheetFormatPr defaultRowHeight="15" x14ac:dyDescent="0.25"/>
  <cols>
    <col min="7" max="7" width="24.28515625" bestFit="1" customWidth="1"/>
    <col min="8" max="9" width="24.28515625" hidden="1" customWidth="1"/>
    <col min="10" max="10" width="15.140625" bestFit="1" customWidth="1"/>
    <col min="11" max="11" width="10.5703125" hidden="1" customWidth="1"/>
    <col min="12" max="12" width="15.85546875" hidden="1" customWidth="1"/>
    <col min="13" max="13" width="119" hidden="1" customWidth="1"/>
    <col min="15" max="15" width="14.28515625" bestFit="1" customWidth="1"/>
    <col min="17" max="18" width="15.85546875" bestFit="1" customWidth="1"/>
  </cols>
  <sheetData>
    <row r="3" spans="6:18" ht="45" x14ac:dyDescent="0.25">
      <c r="F3" s="78" t="s">
        <v>197</v>
      </c>
      <c r="G3" s="78" t="s">
        <v>198</v>
      </c>
      <c r="H3" s="79" t="s">
        <v>199</v>
      </c>
      <c r="I3" s="79" t="s">
        <v>200</v>
      </c>
      <c r="J3" s="78" t="s">
        <v>248</v>
      </c>
      <c r="K3" s="78" t="s">
        <v>201</v>
      </c>
      <c r="L3" s="78" t="s">
        <v>202</v>
      </c>
      <c r="M3" s="79" t="s">
        <v>203</v>
      </c>
    </row>
    <row r="4" spans="6:18" x14ac:dyDescent="0.25">
      <c r="F4" s="129" t="s">
        <v>204</v>
      </c>
      <c r="G4" s="129"/>
      <c r="H4" s="129"/>
      <c r="I4" s="129"/>
      <c r="J4" s="129"/>
      <c r="K4" s="129"/>
      <c r="L4" s="129"/>
      <c r="M4" s="129"/>
    </row>
    <row r="5" spans="6:18" ht="17.25" customHeight="1" x14ac:dyDescent="0.25">
      <c r="F5" s="46">
        <v>1</v>
      </c>
      <c r="G5" s="75" t="s">
        <v>205</v>
      </c>
      <c r="H5" s="75">
        <v>100</v>
      </c>
      <c r="I5" s="75">
        <v>100</v>
      </c>
      <c r="J5" s="75">
        <f>102*128</f>
        <v>13056</v>
      </c>
      <c r="K5" s="80">
        <v>1200</v>
      </c>
      <c r="L5" s="80">
        <f>K5*J5</f>
        <v>15667200</v>
      </c>
      <c r="M5" s="75" t="s">
        <v>206</v>
      </c>
    </row>
    <row r="6" spans="6:18" x14ac:dyDescent="0.25">
      <c r="F6" s="46">
        <v>2</v>
      </c>
      <c r="G6" s="75" t="s">
        <v>207</v>
      </c>
      <c r="H6" s="75">
        <v>100</v>
      </c>
      <c r="I6" s="75">
        <v>100</v>
      </c>
      <c r="J6" s="75">
        <f t="shared" ref="J6:J8" si="0">102*128</f>
        <v>13056</v>
      </c>
      <c r="K6" s="80">
        <v>1200</v>
      </c>
      <c r="L6" s="80">
        <f t="shared" ref="L6:L33" si="1">K6*J6</f>
        <v>15667200</v>
      </c>
      <c r="M6" s="85" t="s">
        <v>208</v>
      </c>
    </row>
    <row r="7" spans="6:18" x14ac:dyDescent="0.25">
      <c r="F7" s="46">
        <v>3</v>
      </c>
      <c r="G7" s="75" t="s">
        <v>6</v>
      </c>
      <c r="H7" s="75">
        <v>100</v>
      </c>
      <c r="I7" s="75">
        <v>100</v>
      </c>
      <c r="J7" s="75">
        <f t="shared" si="0"/>
        <v>13056</v>
      </c>
      <c r="K7" s="80">
        <v>1200</v>
      </c>
      <c r="L7" s="80">
        <f t="shared" si="1"/>
        <v>15667200</v>
      </c>
      <c r="M7" s="81" t="s">
        <v>209</v>
      </c>
    </row>
    <row r="8" spans="6:18" x14ac:dyDescent="0.25">
      <c r="F8" s="46">
        <v>4</v>
      </c>
      <c r="G8" s="75" t="s">
        <v>210</v>
      </c>
      <c r="H8" s="75">
        <v>100</v>
      </c>
      <c r="I8" s="75">
        <v>100</v>
      </c>
      <c r="J8" s="75">
        <f t="shared" si="0"/>
        <v>13056</v>
      </c>
      <c r="K8" s="80">
        <v>1200</v>
      </c>
      <c r="L8" s="80">
        <f t="shared" si="1"/>
        <v>15667200</v>
      </c>
      <c r="M8" s="75" t="s">
        <v>211</v>
      </c>
    </row>
    <row r="9" spans="6:18" x14ac:dyDescent="0.25">
      <c r="F9" s="46"/>
      <c r="G9" s="75" t="s">
        <v>212</v>
      </c>
      <c r="H9" s="75">
        <f>AVERAGE(H5:H8)</f>
        <v>100</v>
      </c>
      <c r="I9" s="75">
        <f>AVERAGE(I5:I8)</f>
        <v>100</v>
      </c>
      <c r="J9" s="75">
        <f>SUM(J5:J8)</f>
        <v>52224</v>
      </c>
      <c r="K9" s="80"/>
      <c r="L9" s="80">
        <f>SUM(L5:L8)</f>
        <v>62668800</v>
      </c>
      <c r="M9" s="80"/>
    </row>
    <row r="10" spans="6:18" x14ac:dyDescent="0.25">
      <c r="F10" s="129" t="s">
        <v>213</v>
      </c>
      <c r="G10" s="129"/>
      <c r="H10" s="129"/>
      <c r="I10" s="129"/>
      <c r="J10" s="129"/>
      <c r="K10" s="129"/>
      <c r="L10" s="129"/>
      <c r="M10" s="129"/>
    </row>
    <row r="11" spans="6:18" x14ac:dyDescent="0.25">
      <c r="F11" s="46">
        <v>5</v>
      </c>
      <c r="G11" s="75" t="s">
        <v>205</v>
      </c>
      <c r="H11" s="75">
        <v>100</v>
      </c>
      <c r="I11" s="75">
        <v>100</v>
      </c>
      <c r="J11" s="75">
        <f>106*48</f>
        <v>5088</v>
      </c>
      <c r="K11" s="80">
        <v>1200</v>
      </c>
      <c r="L11" s="80">
        <f t="shared" si="1"/>
        <v>6105600</v>
      </c>
      <c r="M11" s="75" t="s">
        <v>214</v>
      </c>
    </row>
    <row r="12" spans="6:18" x14ac:dyDescent="0.25">
      <c r="F12" s="46">
        <v>6</v>
      </c>
      <c r="G12" s="75" t="s">
        <v>207</v>
      </c>
      <c r="H12" s="75">
        <v>100</v>
      </c>
      <c r="I12" s="75">
        <v>100</v>
      </c>
      <c r="J12" s="75">
        <f t="shared" ref="J12:J14" si="2">106*48</f>
        <v>5088</v>
      </c>
      <c r="K12" s="80">
        <v>1200</v>
      </c>
      <c r="L12" s="80">
        <f t="shared" si="1"/>
        <v>6105600</v>
      </c>
      <c r="M12" s="75" t="s">
        <v>215</v>
      </c>
      <c r="R12" s="82"/>
    </row>
    <row r="13" spans="6:18" x14ac:dyDescent="0.25">
      <c r="F13" s="46">
        <v>7</v>
      </c>
      <c r="G13" s="75" t="s">
        <v>6</v>
      </c>
      <c r="H13" s="75">
        <v>100</v>
      </c>
      <c r="I13" s="75">
        <v>100</v>
      </c>
      <c r="J13" s="75">
        <f t="shared" si="2"/>
        <v>5088</v>
      </c>
      <c r="K13" s="80">
        <v>1200</v>
      </c>
      <c r="L13" s="80">
        <f t="shared" si="1"/>
        <v>6105600</v>
      </c>
      <c r="M13" s="75" t="s">
        <v>216</v>
      </c>
      <c r="R13" s="83"/>
    </row>
    <row r="14" spans="6:18" x14ac:dyDescent="0.25">
      <c r="F14" s="46">
        <v>8</v>
      </c>
      <c r="G14" s="75" t="s">
        <v>210</v>
      </c>
      <c r="H14" s="75">
        <v>100</v>
      </c>
      <c r="I14" s="75">
        <v>100</v>
      </c>
      <c r="J14" s="75">
        <f t="shared" si="2"/>
        <v>5088</v>
      </c>
      <c r="K14" s="80">
        <v>1200</v>
      </c>
      <c r="L14" s="80">
        <f t="shared" si="1"/>
        <v>6105600</v>
      </c>
      <c r="M14" s="75" t="s">
        <v>217</v>
      </c>
    </row>
    <row r="15" spans="6:18" x14ac:dyDescent="0.25">
      <c r="F15" s="46"/>
      <c r="G15" s="75" t="s">
        <v>212</v>
      </c>
      <c r="H15" s="75">
        <f>AVERAGE(H11:H14)</f>
        <v>100</v>
      </c>
      <c r="I15" s="75">
        <f>AVERAGE(I11:I14)</f>
        <v>100</v>
      </c>
      <c r="J15" s="75">
        <f>SUM(J11:J14)</f>
        <v>20352</v>
      </c>
      <c r="K15" s="80"/>
      <c r="L15" s="80">
        <f>SUM(L11:L14)</f>
        <v>24422400</v>
      </c>
      <c r="M15" s="80"/>
    </row>
    <row r="16" spans="6:18" x14ac:dyDescent="0.25">
      <c r="F16" s="129" t="s">
        <v>218</v>
      </c>
      <c r="G16" s="129"/>
      <c r="H16" s="129"/>
      <c r="I16" s="129"/>
      <c r="J16" s="129"/>
      <c r="K16" s="129"/>
      <c r="L16" s="129"/>
      <c r="M16" s="129"/>
    </row>
    <row r="17" spans="6:13" x14ac:dyDescent="0.25">
      <c r="F17" s="46">
        <v>9</v>
      </c>
      <c r="G17" s="75" t="s">
        <v>205</v>
      </c>
      <c r="H17" s="75">
        <v>100</v>
      </c>
      <c r="I17" s="75">
        <v>100</v>
      </c>
      <c r="J17" s="75">
        <f>10*32</f>
        <v>320</v>
      </c>
      <c r="K17" s="80">
        <v>800</v>
      </c>
      <c r="L17" s="80">
        <f t="shared" si="1"/>
        <v>256000</v>
      </c>
      <c r="M17" s="75" t="s">
        <v>219</v>
      </c>
    </row>
    <row r="18" spans="6:13" x14ac:dyDescent="0.25">
      <c r="F18" s="46">
        <v>10</v>
      </c>
      <c r="G18" s="75" t="s">
        <v>6</v>
      </c>
      <c r="H18" s="75">
        <v>100</v>
      </c>
      <c r="I18" s="75">
        <v>100</v>
      </c>
      <c r="J18" s="75">
        <f t="shared" ref="J18:J19" si="3">10*32</f>
        <v>320</v>
      </c>
      <c r="K18" s="80">
        <v>800</v>
      </c>
      <c r="L18" s="80">
        <f t="shared" si="1"/>
        <v>256000</v>
      </c>
      <c r="M18" s="75" t="s">
        <v>219</v>
      </c>
    </row>
    <row r="19" spans="6:13" x14ac:dyDescent="0.25">
      <c r="F19" s="46">
        <v>11</v>
      </c>
      <c r="G19" s="75" t="s">
        <v>210</v>
      </c>
      <c r="H19" s="75">
        <v>100</v>
      </c>
      <c r="I19" s="75">
        <v>100</v>
      </c>
      <c r="J19" s="75">
        <f t="shared" si="3"/>
        <v>320</v>
      </c>
      <c r="K19" s="80">
        <v>800</v>
      </c>
      <c r="L19" s="80">
        <f t="shared" si="1"/>
        <v>256000</v>
      </c>
      <c r="M19" s="75" t="s">
        <v>219</v>
      </c>
    </row>
    <row r="20" spans="6:13" x14ac:dyDescent="0.25">
      <c r="F20" s="46"/>
      <c r="G20" s="75" t="s">
        <v>212</v>
      </c>
      <c r="H20" s="75">
        <f>AVERAGE(H17:H19)</f>
        <v>100</v>
      </c>
      <c r="I20" s="75">
        <f>AVERAGE(I17:I19)</f>
        <v>100</v>
      </c>
      <c r="J20" s="75">
        <f>SUM(J17:J19)</f>
        <v>960</v>
      </c>
      <c r="K20" s="80"/>
      <c r="L20" s="80">
        <f>SUM(L17:L19)</f>
        <v>768000</v>
      </c>
      <c r="M20" s="80"/>
    </row>
    <row r="21" spans="6:13" x14ac:dyDescent="0.25">
      <c r="F21" s="130" t="s">
        <v>220</v>
      </c>
      <c r="G21" s="130"/>
      <c r="H21" s="130"/>
      <c r="I21" s="130"/>
      <c r="J21" s="130"/>
      <c r="K21" s="130"/>
      <c r="L21" s="130"/>
      <c r="M21" s="130"/>
    </row>
    <row r="22" spans="6:13" x14ac:dyDescent="0.25">
      <c r="F22" s="46">
        <v>12</v>
      </c>
      <c r="G22" s="75" t="s">
        <v>221</v>
      </c>
      <c r="H22" s="75">
        <v>100</v>
      </c>
      <c r="I22" s="75">
        <v>100</v>
      </c>
      <c r="J22" s="75">
        <f>15*10</f>
        <v>150</v>
      </c>
      <c r="K22" s="80">
        <v>900</v>
      </c>
      <c r="L22" s="80">
        <f t="shared" si="1"/>
        <v>135000</v>
      </c>
      <c r="M22" s="75" t="s">
        <v>222</v>
      </c>
    </row>
    <row r="23" spans="6:13" x14ac:dyDescent="0.25">
      <c r="F23" s="46">
        <v>13</v>
      </c>
      <c r="G23" s="75" t="s">
        <v>223</v>
      </c>
      <c r="H23" s="75">
        <v>100</v>
      </c>
      <c r="I23" s="75">
        <v>100</v>
      </c>
      <c r="J23" s="75">
        <f>30*10</f>
        <v>300</v>
      </c>
      <c r="K23" s="80">
        <v>900</v>
      </c>
      <c r="L23" s="80">
        <f t="shared" si="1"/>
        <v>270000</v>
      </c>
      <c r="M23" s="75" t="s">
        <v>113</v>
      </c>
    </row>
    <row r="24" spans="6:13" x14ac:dyDescent="0.25">
      <c r="F24" s="46">
        <v>14</v>
      </c>
      <c r="G24" s="75" t="s">
        <v>224</v>
      </c>
      <c r="H24" s="75">
        <v>100</v>
      </c>
      <c r="I24" s="75">
        <v>100</v>
      </c>
      <c r="J24" s="75">
        <f>7*10</f>
        <v>70</v>
      </c>
      <c r="K24" s="80">
        <v>900</v>
      </c>
      <c r="L24" s="80">
        <f t="shared" si="1"/>
        <v>63000</v>
      </c>
      <c r="M24" s="75" t="s">
        <v>225</v>
      </c>
    </row>
    <row r="25" spans="6:13" x14ac:dyDescent="0.25">
      <c r="F25" s="46">
        <v>15</v>
      </c>
      <c r="G25" s="75" t="s">
        <v>226</v>
      </c>
      <c r="H25" s="75">
        <v>100</v>
      </c>
      <c r="I25" s="75">
        <v>100</v>
      </c>
      <c r="J25" s="75">
        <f>4*10</f>
        <v>40</v>
      </c>
      <c r="K25" s="80">
        <v>900</v>
      </c>
      <c r="L25" s="80">
        <f t="shared" si="1"/>
        <v>36000</v>
      </c>
      <c r="M25" s="75" t="s">
        <v>225</v>
      </c>
    </row>
    <row r="26" spans="6:13" x14ac:dyDescent="0.25">
      <c r="F26" s="46">
        <v>16</v>
      </c>
      <c r="G26" s="75" t="s">
        <v>227</v>
      </c>
      <c r="H26" s="75">
        <v>100</v>
      </c>
      <c r="I26" s="75">
        <v>100</v>
      </c>
      <c r="J26" s="75">
        <f>8*10</f>
        <v>80</v>
      </c>
      <c r="K26" s="80">
        <v>900</v>
      </c>
      <c r="L26" s="80">
        <f t="shared" si="1"/>
        <v>72000</v>
      </c>
      <c r="M26" s="75" t="s">
        <v>228</v>
      </c>
    </row>
    <row r="27" spans="6:13" x14ac:dyDescent="0.25">
      <c r="F27" s="46">
        <v>17</v>
      </c>
      <c r="G27" s="75" t="s">
        <v>229</v>
      </c>
      <c r="H27" s="75">
        <v>100</v>
      </c>
      <c r="I27" s="75">
        <v>100</v>
      </c>
      <c r="J27" s="75">
        <f>15*10</f>
        <v>150</v>
      </c>
      <c r="K27" s="80">
        <v>900</v>
      </c>
      <c r="L27" s="80">
        <f t="shared" si="1"/>
        <v>135000</v>
      </c>
      <c r="M27" s="75" t="s">
        <v>230</v>
      </c>
    </row>
    <row r="28" spans="6:13" x14ac:dyDescent="0.25">
      <c r="F28" s="46">
        <v>18</v>
      </c>
      <c r="G28" s="75" t="s">
        <v>231</v>
      </c>
      <c r="H28" s="75">
        <v>100</v>
      </c>
      <c r="I28" s="75">
        <v>100</v>
      </c>
      <c r="J28" s="75">
        <f>12*10</f>
        <v>120</v>
      </c>
      <c r="K28" s="80">
        <v>900</v>
      </c>
      <c r="L28" s="80">
        <f t="shared" si="1"/>
        <v>108000</v>
      </c>
      <c r="M28" s="75" t="s">
        <v>232</v>
      </c>
    </row>
    <row r="29" spans="6:13" x14ac:dyDescent="0.25">
      <c r="F29" s="46">
        <v>19</v>
      </c>
      <c r="G29" s="75" t="s">
        <v>233</v>
      </c>
      <c r="H29" s="75">
        <v>100</v>
      </c>
      <c r="I29" s="75">
        <v>100</v>
      </c>
      <c r="J29" s="75">
        <f>12*10</f>
        <v>120</v>
      </c>
      <c r="K29" s="80">
        <v>900</v>
      </c>
      <c r="L29" s="80">
        <f t="shared" si="1"/>
        <v>108000</v>
      </c>
      <c r="M29" s="75" t="s">
        <v>234</v>
      </c>
    </row>
    <row r="30" spans="6:13" x14ac:dyDescent="0.25">
      <c r="F30" s="46">
        <v>20</v>
      </c>
      <c r="G30" s="75" t="s">
        <v>235</v>
      </c>
      <c r="H30" s="75">
        <v>100</v>
      </c>
      <c r="I30" s="75">
        <v>100</v>
      </c>
      <c r="J30" s="75">
        <f>11*10</f>
        <v>110</v>
      </c>
      <c r="K30" s="80">
        <v>900</v>
      </c>
      <c r="L30" s="80">
        <f t="shared" si="1"/>
        <v>99000</v>
      </c>
      <c r="M30" s="75" t="s">
        <v>113</v>
      </c>
    </row>
    <row r="31" spans="6:13" x14ac:dyDescent="0.25">
      <c r="F31" s="46">
        <v>21</v>
      </c>
      <c r="G31" s="75" t="s">
        <v>236</v>
      </c>
      <c r="H31" s="75">
        <v>100</v>
      </c>
      <c r="I31" s="75">
        <v>100</v>
      </c>
      <c r="J31" s="75">
        <f>11*10</f>
        <v>110</v>
      </c>
      <c r="K31" s="80">
        <v>900</v>
      </c>
      <c r="L31" s="80">
        <f t="shared" si="1"/>
        <v>99000</v>
      </c>
      <c r="M31" s="75" t="s">
        <v>113</v>
      </c>
    </row>
    <row r="32" spans="6:13" x14ac:dyDescent="0.25">
      <c r="F32" s="46">
        <v>22</v>
      </c>
      <c r="G32" s="75" t="s">
        <v>237</v>
      </c>
      <c r="H32" s="75">
        <v>100</v>
      </c>
      <c r="I32" s="75">
        <v>100</v>
      </c>
      <c r="J32" s="75">
        <f>11*10</f>
        <v>110</v>
      </c>
      <c r="K32" s="80">
        <v>900</v>
      </c>
      <c r="L32" s="80">
        <f t="shared" si="1"/>
        <v>99000</v>
      </c>
      <c r="M32" s="75" t="s">
        <v>113</v>
      </c>
    </row>
    <row r="33" spans="6:17" x14ac:dyDescent="0.25">
      <c r="F33" s="46">
        <v>23</v>
      </c>
      <c r="G33" s="75" t="s">
        <v>238</v>
      </c>
      <c r="H33" s="75">
        <v>100</v>
      </c>
      <c r="I33" s="75">
        <v>100</v>
      </c>
      <c r="J33" s="75">
        <f>18*10</f>
        <v>180</v>
      </c>
      <c r="K33" s="80">
        <v>900</v>
      </c>
      <c r="L33" s="80">
        <f t="shared" si="1"/>
        <v>162000</v>
      </c>
      <c r="M33" s="75" t="s">
        <v>113</v>
      </c>
    </row>
    <row r="34" spans="6:17" x14ac:dyDescent="0.25">
      <c r="F34" s="75"/>
      <c r="G34" s="75" t="s">
        <v>212</v>
      </c>
      <c r="H34" s="75">
        <f>AVERAGE(H22:H33)</f>
        <v>100</v>
      </c>
      <c r="I34" s="75">
        <f>AVERAGE(I22:I33)</f>
        <v>100</v>
      </c>
      <c r="J34" s="75">
        <f>SUM(J22:J33)</f>
        <v>1540</v>
      </c>
      <c r="K34" s="80"/>
      <c r="L34" s="84">
        <f>SUM(L22:L33)</f>
        <v>1386000</v>
      </c>
      <c r="M34" s="84"/>
    </row>
    <row r="35" spans="6:17" x14ac:dyDescent="0.25">
      <c r="F35" s="75"/>
      <c r="G35" s="75" t="s">
        <v>239</v>
      </c>
      <c r="H35" s="75">
        <f>AVERAGE(H34,H20,H15,H9)</f>
        <v>100</v>
      </c>
      <c r="I35" s="75">
        <f>AVERAGE(I34,I20,I15,I9)</f>
        <v>100</v>
      </c>
      <c r="J35" s="75">
        <f>SUM(J34,J20,J15,J9)</f>
        <v>75076</v>
      </c>
      <c r="K35" s="80"/>
      <c r="L35" s="84">
        <f>L34+L20+L15+L9</f>
        <v>89245200</v>
      </c>
      <c r="M35" s="84"/>
      <c r="N35">
        <v>80</v>
      </c>
      <c r="O35" s="141">
        <f>N35*J35</f>
        <v>6006080</v>
      </c>
      <c r="Q35">
        <f>O35/Q36</f>
        <v>6.8096145124716553E-2</v>
      </c>
    </row>
    <row r="36" spans="6:17" x14ac:dyDescent="0.25">
      <c r="O36">
        <v>8.82</v>
      </c>
      <c r="P36">
        <v>10000000</v>
      </c>
      <c r="Q36" s="141">
        <f>P36*O36</f>
        <v>88200000</v>
      </c>
    </row>
    <row r="37" spans="6:17" x14ac:dyDescent="0.25">
      <c r="F37" s="75"/>
    </row>
    <row r="38" spans="6:17" x14ac:dyDescent="0.25">
      <c r="F38" s="75"/>
    </row>
    <row r="39" spans="6:17" x14ac:dyDescent="0.25">
      <c r="F39" s="75"/>
    </row>
    <row r="40" spans="6:17" x14ac:dyDescent="0.25">
      <c r="F40" s="75"/>
    </row>
    <row r="41" spans="6:17" x14ac:dyDescent="0.25">
      <c r="F41" s="75"/>
    </row>
    <row r="42" spans="6:17" x14ac:dyDescent="0.25">
      <c r="F42" s="75"/>
    </row>
    <row r="43" spans="6:17" x14ac:dyDescent="0.25">
      <c r="F43" s="75"/>
    </row>
    <row r="44" spans="6:17" x14ac:dyDescent="0.25">
      <c r="F44" s="75"/>
    </row>
    <row r="45" spans="6:17" x14ac:dyDescent="0.25">
      <c r="F45" s="75"/>
    </row>
    <row r="46" spans="6:17" x14ac:dyDescent="0.25">
      <c r="F46" s="75"/>
    </row>
    <row r="47" spans="6:17" x14ac:dyDescent="0.25">
      <c r="F47" s="75"/>
    </row>
    <row r="48" spans="6:17" x14ac:dyDescent="0.25">
      <c r="F48" s="75"/>
    </row>
    <row r="49" spans="6:6" x14ac:dyDescent="0.25">
      <c r="F49" s="75"/>
    </row>
    <row r="50" spans="6:6" x14ac:dyDescent="0.25">
      <c r="F50" s="75"/>
    </row>
  </sheetData>
  <mergeCells count="4">
    <mergeCell ref="F4:M4"/>
    <mergeCell ref="F10:M10"/>
    <mergeCell ref="F16:M16"/>
    <mergeCell ref="F21:M21"/>
  </mergeCells>
  <conditionalFormatting sqref="H5:I9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{96DF6837-EDB7-4D4B-8359-A72B6B98290D}</x14:id>
        </ext>
      </extLst>
    </cfRule>
  </conditionalFormatting>
  <conditionalFormatting sqref="H11:I14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{69339C13-F096-4841-B2A4-D248EC1D3874}</x14:id>
        </ext>
      </extLst>
    </cfRule>
  </conditionalFormatting>
  <conditionalFormatting sqref="H17:I20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{FCBD08AA-6ED8-4A18-9448-59F493990239}</x14:id>
        </ext>
      </extLst>
    </cfRule>
  </conditionalFormatting>
  <conditionalFormatting sqref="H22:I33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{2896E7AE-73F4-4A70-AAB0-6DF992F86F5D}</x14:id>
        </ext>
      </extLst>
    </cfRule>
  </conditionalFormatting>
  <conditionalFormatting sqref="H15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{7ED2F062-D7E2-4454-A624-0544EECE538D}</x14:id>
        </ext>
      </extLst>
    </cfRule>
  </conditionalFormatting>
  <conditionalFormatting sqref="I15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{DC920790-99A3-4E02-A270-89617CA23190}</x14:id>
        </ext>
      </extLst>
    </cfRule>
  </conditionalFormatting>
  <conditionalFormatting sqref="H34:I34">
    <cfRule type="dataBar" priority="1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{2E9B4E45-996C-4E63-9A12-396DB7AA57FB}</x14:id>
        </ext>
      </extLst>
    </cfRule>
  </conditionalFormatting>
  <conditionalFormatting sqref="H20:I20"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{5ED82F20-9795-40E4-BEEB-D4A2B7FDF07C}</x14:id>
        </ext>
      </extLst>
    </cfRule>
  </conditionalFormatting>
  <conditionalFormatting sqref="H15:I15">
    <cfRule type="dataBar" priority="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{8E8A6F5D-F54A-4D14-B328-516EE5ED00C1}</x14:id>
        </ext>
      </extLst>
    </cfRule>
  </conditionalFormatting>
  <conditionalFormatting sqref="H9:I9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{845A2912-2B6C-412E-BA86-475734FF55A6}</x14:id>
        </ext>
      </extLst>
    </cfRule>
  </conditionalFormatting>
  <conditionalFormatting sqref="H35:I3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{BB4449FD-2543-4FFE-B5B0-C22DCB3113A6}</x14:id>
        </ext>
      </extLst>
    </cfRule>
  </conditionalFormatting>
  <conditionalFormatting sqref="H6:I6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{83C864D5-7470-43CC-BEFB-22FA46777BFB}</x14:id>
        </ext>
      </extLst>
    </cfRule>
  </conditionalFormatting>
  <conditionalFormatting sqref="H8:I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{ACCC19F8-DB86-486A-B6A8-CA10BEDA0CB4}</x14:id>
        </ext>
      </extLst>
    </cfRule>
  </conditionalFormatting>
  <conditionalFormatting sqref="H12:I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{49BC7E95-F201-4168-8C7C-AD39A0136A92}</x14:id>
        </ext>
      </extLst>
    </cfRule>
  </conditionalFormatting>
  <conditionalFormatting sqref="H14:I1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{6E8FAB36-6819-47B4-A173-EB9687E3C806}</x14:id>
        </ext>
      </extLst>
    </cfRule>
  </conditionalFormatting>
  <conditionalFormatting sqref="H18:I18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{34E551EF-0D09-4103-87E6-FC53FBA14E00}</x14:id>
        </ext>
      </extLst>
    </cfRule>
  </conditionalFormatting>
  <conditionalFormatting sqref="H23:I2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{26F72231-555F-4F68-9B31-69BF9CA9CC38}</x14:id>
        </ext>
      </extLst>
    </cfRule>
  </conditionalFormatting>
  <conditionalFormatting sqref="H25:I25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{1B9E2516-197E-48E8-8733-8E56B44B887F}</x14:id>
        </ext>
      </extLst>
    </cfRule>
  </conditionalFormatting>
  <conditionalFormatting sqref="H27:I2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{45876B59-64FD-4903-A903-6DBF64D6BFE1}</x14:id>
        </ext>
      </extLst>
    </cfRule>
  </conditionalFormatting>
  <conditionalFormatting sqref="H29:I2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{D1A821E2-5D38-4368-9539-2BFAFF7330D3}</x14:id>
        </ext>
      </extLst>
    </cfRule>
  </conditionalFormatting>
  <conditionalFormatting sqref="H31:I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{AB747CAD-EDBA-48A5-B0AD-36C68991F09C}</x14:id>
        </ext>
      </extLst>
    </cfRule>
  </conditionalFormatting>
  <conditionalFormatting sqref="H33:I3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{1F67271D-3766-48E5-AF0F-92BA0591A493}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6DF6837-EDB7-4D4B-8359-A72B6B9829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H5:I9</xm:sqref>
        </x14:conditionalFormatting>
        <x14:conditionalFormatting xmlns:xm="http://schemas.microsoft.com/office/excel/2006/main">
          <x14:cfRule type="dataBar" id="{69339C13-F096-4841-B2A4-D248EC1D38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H11:I14</xm:sqref>
        </x14:conditionalFormatting>
        <x14:conditionalFormatting xmlns:xm="http://schemas.microsoft.com/office/excel/2006/main">
          <x14:cfRule type="dataBar" id="{FCBD08AA-6ED8-4A18-9448-59F4939902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H17:I20</xm:sqref>
        </x14:conditionalFormatting>
        <x14:conditionalFormatting xmlns:xm="http://schemas.microsoft.com/office/excel/2006/main">
          <x14:cfRule type="dataBar" id="{2896E7AE-73F4-4A70-AAB0-6DF992F86F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H22:I33</xm:sqref>
        </x14:conditionalFormatting>
        <x14:conditionalFormatting xmlns:xm="http://schemas.microsoft.com/office/excel/2006/main">
          <x14:cfRule type="dataBar" id="{7ED2F062-D7E2-4454-A624-0544EECE53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H15</xm:sqref>
        </x14:conditionalFormatting>
        <x14:conditionalFormatting xmlns:xm="http://schemas.microsoft.com/office/excel/2006/main">
          <x14:cfRule type="dataBar" id="{DC920790-99A3-4E02-A270-89617CA2319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I15</xm:sqref>
        </x14:conditionalFormatting>
        <x14:conditionalFormatting xmlns:xm="http://schemas.microsoft.com/office/excel/2006/main">
          <x14:cfRule type="dataBar" id="{2E9B4E45-996C-4E63-9A12-396DB7AA57F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H34:I34</xm:sqref>
        </x14:conditionalFormatting>
        <x14:conditionalFormatting xmlns:xm="http://schemas.microsoft.com/office/excel/2006/main">
          <x14:cfRule type="dataBar" id="{5ED82F20-9795-40E4-BEEB-D4A2B7FDF07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H20:I20</xm:sqref>
        </x14:conditionalFormatting>
        <x14:conditionalFormatting xmlns:xm="http://schemas.microsoft.com/office/excel/2006/main">
          <x14:cfRule type="dataBar" id="{8E8A6F5D-F54A-4D14-B328-516EE5ED00C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H15:I15</xm:sqref>
        </x14:conditionalFormatting>
        <x14:conditionalFormatting xmlns:xm="http://schemas.microsoft.com/office/excel/2006/main">
          <x14:cfRule type="dataBar" id="{845A2912-2B6C-412E-BA86-475734FF55A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H9:I9</xm:sqref>
        </x14:conditionalFormatting>
        <x14:conditionalFormatting xmlns:xm="http://schemas.microsoft.com/office/excel/2006/main">
          <x14:cfRule type="dataBar" id="{BB4449FD-2543-4FFE-B5B0-C22DCB3113A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H35:I35</xm:sqref>
        </x14:conditionalFormatting>
        <x14:conditionalFormatting xmlns:xm="http://schemas.microsoft.com/office/excel/2006/main">
          <x14:cfRule type="dataBar" id="{83C864D5-7470-43CC-BEFB-22FA46777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H6:I6</xm:sqref>
        </x14:conditionalFormatting>
        <x14:conditionalFormatting xmlns:xm="http://schemas.microsoft.com/office/excel/2006/main">
          <x14:cfRule type="dataBar" id="{ACCC19F8-DB86-486A-B6A8-CA10BEDA0C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H8:I8</xm:sqref>
        </x14:conditionalFormatting>
        <x14:conditionalFormatting xmlns:xm="http://schemas.microsoft.com/office/excel/2006/main">
          <x14:cfRule type="dataBar" id="{49BC7E95-F201-4168-8C7C-AD39A0136A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H12:I12</xm:sqref>
        </x14:conditionalFormatting>
        <x14:conditionalFormatting xmlns:xm="http://schemas.microsoft.com/office/excel/2006/main">
          <x14:cfRule type="dataBar" id="{6E8FAB36-6819-47B4-A173-EB9687E3C80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H14:I14</xm:sqref>
        </x14:conditionalFormatting>
        <x14:conditionalFormatting xmlns:xm="http://schemas.microsoft.com/office/excel/2006/main">
          <x14:cfRule type="dataBar" id="{34E551EF-0D09-4103-87E6-FC53FBA14E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H18:I18</xm:sqref>
        </x14:conditionalFormatting>
        <x14:conditionalFormatting xmlns:xm="http://schemas.microsoft.com/office/excel/2006/main">
          <x14:cfRule type="dataBar" id="{26F72231-555F-4F68-9B31-69BF9CA9CC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H23:I23</xm:sqref>
        </x14:conditionalFormatting>
        <x14:conditionalFormatting xmlns:xm="http://schemas.microsoft.com/office/excel/2006/main">
          <x14:cfRule type="dataBar" id="{1B9E2516-197E-48E8-8733-8E56B44B88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H25:I25</xm:sqref>
        </x14:conditionalFormatting>
        <x14:conditionalFormatting xmlns:xm="http://schemas.microsoft.com/office/excel/2006/main">
          <x14:cfRule type="dataBar" id="{45876B59-64FD-4903-A903-6DBF64D6BFE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H27:I27</xm:sqref>
        </x14:conditionalFormatting>
        <x14:conditionalFormatting xmlns:xm="http://schemas.microsoft.com/office/excel/2006/main">
          <x14:cfRule type="dataBar" id="{D1A821E2-5D38-4368-9539-2BFAFF7330D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H29:I29</xm:sqref>
        </x14:conditionalFormatting>
        <x14:conditionalFormatting xmlns:xm="http://schemas.microsoft.com/office/excel/2006/main">
          <x14:cfRule type="dataBar" id="{AB747CAD-EDBA-48A5-B0AD-36C68991F09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H31:I31</xm:sqref>
        </x14:conditionalFormatting>
        <x14:conditionalFormatting xmlns:xm="http://schemas.microsoft.com/office/excel/2006/main">
          <x14:cfRule type="dataBar" id="{1F67271D-3766-48E5-AF0F-92BA0591A4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H33:I33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69EB-6A39-49B0-BBC2-47A629A1D4D8}">
  <dimension ref="C4:D13"/>
  <sheetViews>
    <sheetView workbookViewId="0">
      <selection activeCell="E22" sqref="E22"/>
    </sheetView>
  </sheetViews>
  <sheetFormatPr defaultRowHeight="15" x14ac:dyDescent="0.25"/>
  <cols>
    <col min="3" max="3" width="28.28515625" bestFit="1" customWidth="1"/>
    <col min="4" max="4" width="16.42578125" bestFit="1" customWidth="1"/>
  </cols>
  <sheetData>
    <row r="4" spans="3:4" x14ac:dyDescent="0.25">
      <c r="C4" s="77" t="s">
        <v>34</v>
      </c>
      <c r="D4" s="77" t="s">
        <v>35</v>
      </c>
    </row>
    <row r="5" spans="3:4" x14ac:dyDescent="0.25">
      <c r="C5" s="75" t="s">
        <v>36</v>
      </c>
      <c r="D5" s="75" t="s">
        <v>45</v>
      </c>
    </row>
    <row r="6" spans="3:4" x14ac:dyDescent="0.25">
      <c r="C6" s="75" t="s">
        <v>37</v>
      </c>
      <c r="D6" s="75" t="s">
        <v>46</v>
      </c>
    </row>
    <row r="7" spans="3:4" x14ac:dyDescent="0.25">
      <c r="C7" s="75" t="s">
        <v>38</v>
      </c>
      <c r="D7" s="76">
        <v>43862</v>
      </c>
    </row>
    <row r="8" spans="3:4" x14ac:dyDescent="0.25">
      <c r="C8" s="75" t="s">
        <v>39</v>
      </c>
      <c r="D8" s="76">
        <v>44166</v>
      </c>
    </row>
    <row r="9" spans="3:4" x14ac:dyDescent="0.25">
      <c r="C9" s="75" t="s">
        <v>40</v>
      </c>
      <c r="D9" s="76">
        <v>44166</v>
      </c>
    </row>
    <row r="10" spans="3:4" x14ac:dyDescent="0.25">
      <c r="C10" s="75" t="s">
        <v>41</v>
      </c>
      <c r="D10" s="76">
        <v>44197</v>
      </c>
    </row>
    <row r="11" spans="3:4" x14ac:dyDescent="0.25">
      <c r="C11" s="75" t="s">
        <v>42</v>
      </c>
      <c r="D11" s="76">
        <v>44228</v>
      </c>
    </row>
    <row r="12" spans="3:4" x14ac:dyDescent="0.25">
      <c r="C12" s="75" t="s">
        <v>43</v>
      </c>
      <c r="D12" s="76">
        <v>44256</v>
      </c>
    </row>
    <row r="13" spans="3:4" x14ac:dyDescent="0.25">
      <c r="C13" s="75" t="s">
        <v>44</v>
      </c>
      <c r="D13" s="76">
        <v>44287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D5841-2048-4A85-A05E-81ACC9BAA8B5}">
  <dimension ref="C2:D11"/>
  <sheetViews>
    <sheetView workbookViewId="0">
      <selection activeCell="G16" sqref="G16"/>
    </sheetView>
  </sheetViews>
  <sheetFormatPr defaultRowHeight="15" x14ac:dyDescent="0.25"/>
  <cols>
    <col min="3" max="4" width="42.42578125" customWidth="1"/>
  </cols>
  <sheetData>
    <row r="2" spans="3:4" x14ac:dyDescent="0.25">
      <c r="C2" s="131" t="s">
        <v>104</v>
      </c>
      <c r="D2" s="131"/>
    </row>
    <row r="3" spans="3:4" x14ac:dyDescent="0.25">
      <c r="C3" s="60" t="s">
        <v>105</v>
      </c>
      <c r="D3" s="61">
        <v>8.7899999999999991</v>
      </c>
    </row>
    <row r="4" spans="3:4" x14ac:dyDescent="0.25">
      <c r="C4" s="60" t="s">
        <v>106</v>
      </c>
      <c r="D4" s="61">
        <v>10.11</v>
      </c>
    </row>
    <row r="5" spans="3:4" ht="30" x14ac:dyDescent="0.25">
      <c r="C5" s="60" t="s">
        <v>107</v>
      </c>
      <c r="D5" s="61">
        <v>0.8</v>
      </c>
    </row>
    <row r="6" spans="3:4" x14ac:dyDescent="0.25">
      <c r="C6" s="60" t="s">
        <v>108</v>
      </c>
      <c r="D6" s="61">
        <v>0.99</v>
      </c>
    </row>
    <row r="7" spans="3:4" x14ac:dyDescent="0.25">
      <c r="C7" s="62" t="s">
        <v>109</v>
      </c>
      <c r="D7" s="63">
        <f>SUM(D3:D6)</f>
        <v>20.689999999999998</v>
      </c>
    </row>
    <row r="9" spans="3:4" ht="15.75" thickBot="1" x14ac:dyDescent="0.3"/>
    <row r="10" spans="3:4" ht="16.5" thickTop="1" thickBot="1" x14ac:dyDescent="0.3">
      <c r="C10" s="64" t="s">
        <v>110</v>
      </c>
      <c r="D10" s="65">
        <v>7.19</v>
      </c>
    </row>
    <row r="11" spans="3:4" ht="16.5" thickTop="1" thickBot="1" x14ac:dyDescent="0.3">
      <c r="C11" s="66" t="s">
        <v>111</v>
      </c>
      <c r="D11" s="67">
        <v>13.5</v>
      </c>
    </row>
  </sheetData>
  <mergeCells count="1">
    <mergeCell ref="C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8A02-EA69-4944-AAE1-1BBD57DF63AE}">
  <dimension ref="C4:E66"/>
  <sheetViews>
    <sheetView topLeftCell="A4" workbookViewId="0">
      <selection activeCell="D6" sqref="D6"/>
    </sheetView>
  </sheetViews>
  <sheetFormatPr defaultRowHeight="15" x14ac:dyDescent="0.25"/>
  <cols>
    <col min="3" max="3" width="7.85546875" bestFit="1" customWidth="1"/>
    <col min="4" max="4" width="31.7109375" bestFit="1" customWidth="1"/>
    <col min="5" max="5" width="28.5703125" bestFit="1" customWidth="1"/>
  </cols>
  <sheetData>
    <row r="4" spans="3:5" x14ac:dyDescent="0.25">
      <c r="C4" s="72" t="s">
        <v>1</v>
      </c>
      <c r="D4" s="72" t="s">
        <v>58</v>
      </c>
      <c r="E4" s="72" t="s">
        <v>114</v>
      </c>
    </row>
    <row r="5" spans="3:5" x14ac:dyDescent="0.25">
      <c r="C5" s="135" t="s">
        <v>115</v>
      </c>
      <c r="D5" s="136"/>
      <c r="E5" s="137"/>
    </row>
    <row r="6" spans="3:5" x14ac:dyDescent="0.25">
      <c r="C6" s="73">
        <v>1</v>
      </c>
      <c r="D6" s="74" t="s">
        <v>116</v>
      </c>
      <c r="E6" s="74" t="s">
        <v>117</v>
      </c>
    </row>
    <row r="7" spans="3:5" x14ac:dyDescent="0.25">
      <c r="C7" s="73">
        <v>2</v>
      </c>
      <c r="D7" s="74" t="s">
        <v>118</v>
      </c>
      <c r="E7" s="74" t="s">
        <v>117</v>
      </c>
    </row>
    <row r="8" spans="3:5" x14ac:dyDescent="0.25">
      <c r="C8" s="73">
        <v>3</v>
      </c>
      <c r="D8" s="74" t="s">
        <v>119</v>
      </c>
      <c r="E8" s="74" t="s">
        <v>120</v>
      </c>
    </row>
    <row r="9" spans="3:5" x14ac:dyDescent="0.25">
      <c r="C9" s="132" t="s">
        <v>121</v>
      </c>
      <c r="D9" s="133"/>
      <c r="E9" s="134"/>
    </row>
    <row r="10" spans="3:5" x14ac:dyDescent="0.25">
      <c r="C10" s="73">
        <v>4</v>
      </c>
      <c r="D10" s="74" t="s">
        <v>122</v>
      </c>
      <c r="E10" s="74" t="s">
        <v>123</v>
      </c>
    </row>
    <row r="11" spans="3:5" x14ac:dyDescent="0.25">
      <c r="C11" s="73">
        <v>5</v>
      </c>
      <c r="D11" s="74" t="s">
        <v>124</v>
      </c>
      <c r="E11" s="74" t="s">
        <v>125</v>
      </c>
    </row>
    <row r="12" spans="3:5" x14ac:dyDescent="0.25">
      <c r="C12" s="73">
        <v>6</v>
      </c>
      <c r="D12" s="74" t="s">
        <v>126</v>
      </c>
      <c r="E12" s="74" t="s">
        <v>127</v>
      </c>
    </row>
    <row r="13" spans="3:5" x14ac:dyDescent="0.25">
      <c r="C13" s="73">
        <v>7</v>
      </c>
      <c r="D13" s="74" t="s">
        <v>128</v>
      </c>
      <c r="E13" s="74" t="s">
        <v>125</v>
      </c>
    </row>
    <row r="14" spans="3:5" x14ac:dyDescent="0.25">
      <c r="C14" s="73">
        <v>8</v>
      </c>
      <c r="D14" s="74" t="s">
        <v>129</v>
      </c>
      <c r="E14" s="74" t="s">
        <v>120</v>
      </c>
    </row>
    <row r="15" spans="3:5" x14ac:dyDescent="0.25">
      <c r="C15" s="73">
        <v>9</v>
      </c>
      <c r="D15" s="74" t="s">
        <v>130</v>
      </c>
      <c r="E15" s="74" t="s">
        <v>131</v>
      </c>
    </row>
    <row r="16" spans="3:5" x14ac:dyDescent="0.25">
      <c r="C16" s="138" t="s">
        <v>132</v>
      </c>
      <c r="D16" s="139"/>
      <c r="E16" s="140"/>
    </row>
    <row r="17" spans="3:5" x14ac:dyDescent="0.25">
      <c r="C17" s="73">
        <v>10</v>
      </c>
      <c r="D17" s="74" t="s">
        <v>133</v>
      </c>
      <c r="E17" s="74" t="s">
        <v>134</v>
      </c>
    </row>
    <row r="18" spans="3:5" x14ac:dyDescent="0.25">
      <c r="C18" s="73">
        <v>11</v>
      </c>
      <c r="D18" s="74" t="s">
        <v>135</v>
      </c>
      <c r="E18" s="74" t="s">
        <v>136</v>
      </c>
    </row>
    <row r="19" spans="3:5" x14ac:dyDescent="0.25">
      <c r="C19" s="73">
        <v>12</v>
      </c>
      <c r="D19" s="74" t="s">
        <v>137</v>
      </c>
      <c r="E19" s="74" t="s">
        <v>138</v>
      </c>
    </row>
    <row r="20" spans="3:5" x14ac:dyDescent="0.25">
      <c r="C20" s="73">
        <v>13</v>
      </c>
      <c r="D20" s="74" t="s">
        <v>139</v>
      </c>
      <c r="E20" s="74" t="s">
        <v>138</v>
      </c>
    </row>
    <row r="21" spans="3:5" x14ac:dyDescent="0.25">
      <c r="C21" s="73">
        <v>14</v>
      </c>
      <c r="D21" s="74" t="s">
        <v>140</v>
      </c>
      <c r="E21" s="74" t="s">
        <v>136</v>
      </c>
    </row>
    <row r="22" spans="3:5" x14ac:dyDescent="0.25">
      <c r="C22" s="73">
        <v>15</v>
      </c>
      <c r="D22" s="74" t="s">
        <v>141</v>
      </c>
      <c r="E22" s="74" t="s">
        <v>142</v>
      </c>
    </row>
    <row r="23" spans="3:5" x14ac:dyDescent="0.25">
      <c r="C23" s="73">
        <v>16</v>
      </c>
      <c r="D23" s="74" t="s">
        <v>143</v>
      </c>
      <c r="E23" s="74" t="s">
        <v>144</v>
      </c>
    </row>
    <row r="24" spans="3:5" x14ac:dyDescent="0.25">
      <c r="C24" s="132" t="s">
        <v>145</v>
      </c>
      <c r="D24" s="133"/>
      <c r="E24" s="134"/>
    </row>
    <row r="25" spans="3:5" x14ac:dyDescent="0.25">
      <c r="C25" s="73">
        <v>17</v>
      </c>
      <c r="D25" s="74" t="s">
        <v>146</v>
      </c>
      <c r="E25" s="74" t="s">
        <v>147</v>
      </c>
    </row>
    <row r="26" spans="3:5" x14ac:dyDescent="0.25">
      <c r="C26" s="73">
        <v>18</v>
      </c>
      <c r="D26" s="74" t="s">
        <v>148</v>
      </c>
      <c r="E26" s="74" t="s">
        <v>147</v>
      </c>
    </row>
    <row r="27" spans="3:5" x14ac:dyDescent="0.25">
      <c r="C27" s="73">
        <v>19</v>
      </c>
      <c r="D27" s="74" t="s">
        <v>149</v>
      </c>
      <c r="E27" s="74" t="s">
        <v>150</v>
      </c>
    </row>
    <row r="28" spans="3:5" x14ac:dyDescent="0.25">
      <c r="C28" s="73">
        <v>20</v>
      </c>
      <c r="D28" s="74" t="s">
        <v>151</v>
      </c>
      <c r="E28" s="74" t="s">
        <v>147</v>
      </c>
    </row>
    <row r="29" spans="3:5" x14ac:dyDescent="0.25">
      <c r="C29" s="132" t="s">
        <v>152</v>
      </c>
      <c r="D29" s="133"/>
      <c r="E29" s="134"/>
    </row>
    <row r="30" spans="3:5" x14ac:dyDescent="0.25">
      <c r="C30" s="73">
        <v>21</v>
      </c>
      <c r="D30" s="74" t="s">
        <v>153</v>
      </c>
      <c r="E30" s="74" t="s">
        <v>154</v>
      </c>
    </row>
    <row r="31" spans="3:5" x14ac:dyDescent="0.25">
      <c r="C31" s="73">
        <v>22</v>
      </c>
      <c r="D31" s="74" t="s">
        <v>155</v>
      </c>
      <c r="E31" s="74" t="s">
        <v>156</v>
      </c>
    </row>
    <row r="32" spans="3:5" x14ac:dyDescent="0.25">
      <c r="C32" s="73">
        <v>23</v>
      </c>
      <c r="D32" s="74" t="s">
        <v>157</v>
      </c>
      <c r="E32" s="74" t="s">
        <v>125</v>
      </c>
    </row>
    <row r="33" spans="3:5" x14ac:dyDescent="0.25">
      <c r="C33" s="132" t="s">
        <v>158</v>
      </c>
      <c r="D33" s="133"/>
      <c r="E33" s="134"/>
    </row>
    <row r="34" spans="3:5" x14ac:dyDescent="0.25">
      <c r="C34" s="73">
        <v>24</v>
      </c>
      <c r="D34" s="74" t="s">
        <v>159</v>
      </c>
      <c r="E34" s="74" t="s">
        <v>160</v>
      </c>
    </row>
    <row r="35" spans="3:5" x14ac:dyDescent="0.25">
      <c r="C35" s="73">
        <v>25</v>
      </c>
      <c r="D35" s="74" t="s">
        <v>161</v>
      </c>
      <c r="E35" s="74" t="s">
        <v>147</v>
      </c>
    </row>
    <row r="36" spans="3:5" x14ac:dyDescent="0.25">
      <c r="C36" s="73">
        <v>26</v>
      </c>
      <c r="D36" s="74" t="s">
        <v>162</v>
      </c>
      <c r="E36" s="74" t="s">
        <v>160</v>
      </c>
    </row>
    <row r="37" spans="3:5" x14ac:dyDescent="0.25">
      <c r="C37" s="73">
        <v>27</v>
      </c>
      <c r="D37" s="74" t="s">
        <v>163</v>
      </c>
      <c r="E37" s="74" t="s">
        <v>160</v>
      </c>
    </row>
    <row r="38" spans="3:5" x14ac:dyDescent="0.25">
      <c r="C38" s="73">
        <v>28</v>
      </c>
      <c r="D38" s="74" t="s">
        <v>164</v>
      </c>
      <c r="E38" s="74" t="s">
        <v>160</v>
      </c>
    </row>
    <row r="39" spans="3:5" x14ac:dyDescent="0.25">
      <c r="C39" s="73">
        <v>29</v>
      </c>
      <c r="D39" s="74" t="s">
        <v>165</v>
      </c>
      <c r="E39" s="74" t="s">
        <v>160</v>
      </c>
    </row>
    <row r="40" spans="3:5" x14ac:dyDescent="0.25">
      <c r="C40" s="73">
        <v>30</v>
      </c>
      <c r="D40" s="74" t="s">
        <v>166</v>
      </c>
      <c r="E40" s="74" t="s">
        <v>160</v>
      </c>
    </row>
    <row r="41" spans="3:5" x14ac:dyDescent="0.25">
      <c r="C41" s="73">
        <v>31</v>
      </c>
      <c r="D41" s="74" t="s">
        <v>167</v>
      </c>
      <c r="E41" s="74" t="s">
        <v>168</v>
      </c>
    </row>
    <row r="42" spans="3:5" x14ac:dyDescent="0.25">
      <c r="C42" s="73">
        <v>32</v>
      </c>
      <c r="D42" s="74" t="s">
        <v>169</v>
      </c>
      <c r="E42" s="74" t="s">
        <v>170</v>
      </c>
    </row>
    <row r="43" spans="3:5" x14ac:dyDescent="0.25">
      <c r="C43" s="73">
        <v>33</v>
      </c>
      <c r="D43" s="74" t="s">
        <v>171</v>
      </c>
      <c r="E43" s="74" t="s">
        <v>160</v>
      </c>
    </row>
    <row r="44" spans="3:5" x14ac:dyDescent="0.25">
      <c r="C44" s="73">
        <v>34</v>
      </c>
      <c r="D44" s="74" t="s">
        <v>172</v>
      </c>
      <c r="E44" s="74" t="s">
        <v>160</v>
      </c>
    </row>
    <row r="45" spans="3:5" x14ac:dyDescent="0.25">
      <c r="C45" s="73">
        <v>35</v>
      </c>
      <c r="D45" s="74" t="s">
        <v>173</v>
      </c>
      <c r="E45" s="74" t="s">
        <v>147</v>
      </c>
    </row>
    <row r="46" spans="3:5" x14ac:dyDescent="0.25">
      <c r="C46" s="132" t="s">
        <v>174</v>
      </c>
      <c r="D46" s="133"/>
      <c r="E46" s="134"/>
    </row>
    <row r="47" spans="3:5" x14ac:dyDescent="0.25">
      <c r="C47" s="73">
        <v>36</v>
      </c>
      <c r="D47" s="74" t="s">
        <v>175</v>
      </c>
      <c r="E47" s="74"/>
    </row>
    <row r="48" spans="3:5" x14ac:dyDescent="0.25">
      <c r="C48" s="73">
        <v>37</v>
      </c>
      <c r="D48" s="74" t="s">
        <v>176</v>
      </c>
      <c r="E48" s="74" t="s">
        <v>160</v>
      </c>
    </row>
    <row r="49" spans="3:5" x14ac:dyDescent="0.25">
      <c r="C49" s="73">
        <v>38</v>
      </c>
      <c r="D49" s="74" t="s">
        <v>177</v>
      </c>
      <c r="E49" s="74" t="s">
        <v>147</v>
      </c>
    </row>
    <row r="50" spans="3:5" x14ac:dyDescent="0.25">
      <c r="C50" s="73">
        <v>39</v>
      </c>
      <c r="D50" s="74" t="s">
        <v>178</v>
      </c>
      <c r="E50" s="74" t="s">
        <v>160</v>
      </c>
    </row>
    <row r="51" spans="3:5" x14ac:dyDescent="0.25">
      <c r="C51" s="132" t="s">
        <v>179</v>
      </c>
      <c r="D51" s="133"/>
      <c r="E51" s="134"/>
    </row>
    <row r="52" spans="3:5" x14ac:dyDescent="0.25">
      <c r="C52" s="73">
        <v>40</v>
      </c>
      <c r="D52" s="74" t="s">
        <v>180</v>
      </c>
      <c r="E52" s="74" t="s">
        <v>160</v>
      </c>
    </row>
    <row r="53" spans="3:5" x14ac:dyDescent="0.25">
      <c r="C53" s="73">
        <v>41</v>
      </c>
      <c r="D53" s="74" t="s">
        <v>172</v>
      </c>
      <c r="E53" s="74" t="s">
        <v>160</v>
      </c>
    </row>
    <row r="54" spans="3:5" x14ac:dyDescent="0.25">
      <c r="C54" s="73">
        <v>42</v>
      </c>
      <c r="D54" s="74" t="s">
        <v>181</v>
      </c>
      <c r="E54" s="74" t="s">
        <v>182</v>
      </c>
    </row>
    <row r="55" spans="3:5" x14ac:dyDescent="0.25">
      <c r="C55" s="132" t="s">
        <v>183</v>
      </c>
      <c r="D55" s="133"/>
      <c r="E55" s="134"/>
    </row>
    <row r="56" spans="3:5" x14ac:dyDescent="0.25">
      <c r="C56" s="73">
        <v>43</v>
      </c>
      <c r="D56" s="74" t="s">
        <v>184</v>
      </c>
      <c r="E56" s="74" t="s">
        <v>185</v>
      </c>
    </row>
    <row r="57" spans="3:5" x14ac:dyDescent="0.25">
      <c r="C57" s="73">
        <v>44</v>
      </c>
      <c r="D57" s="74" t="s">
        <v>186</v>
      </c>
      <c r="E57" s="74" t="s">
        <v>187</v>
      </c>
    </row>
    <row r="58" spans="3:5" x14ac:dyDescent="0.25">
      <c r="C58" s="73">
        <v>45</v>
      </c>
      <c r="D58" s="74" t="s">
        <v>188</v>
      </c>
      <c r="E58" s="74" t="s">
        <v>187</v>
      </c>
    </row>
    <row r="59" spans="3:5" x14ac:dyDescent="0.25">
      <c r="C59" s="132" t="s">
        <v>189</v>
      </c>
      <c r="D59" s="133"/>
      <c r="E59" s="134"/>
    </row>
    <row r="60" spans="3:5" x14ac:dyDescent="0.25">
      <c r="C60" s="73">
        <v>46</v>
      </c>
      <c r="D60" s="74" t="s">
        <v>190</v>
      </c>
      <c r="E60" s="74" t="s">
        <v>120</v>
      </c>
    </row>
    <row r="61" spans="3:5" x14ac:dyDescent="0.25">
      <c r="C61" s="73">
        <v>47</v>
      </c>
      <c r="D61" s="74" t="s">
        <v>191</v>
      </c>
      <c r="E61" s="74" t="s">
        <v>120</v>
      </c>
    </row>
    <row r="62" spans="3:5" x14ac:dyDescent="0.25">
      <c r="C62" s="73">
        <v>48</v>
      </c>
      <c r="D62" s="74" t="s">
        <v>192</v>
      </c>
      <c r="E62" s="74" t="s">
        <v>120</v>
      </c>
    </row>
    <row r="63" spans="3:5" x14ac:dyDescent="0.25">
      <c r="C63" s="73">
        <v>49</v>
      </c>
      <c r="D63" s="74" t="s">
        <v>193</v>
      </c>
      <c r="E63" s="74" t="s">
        <v>120</v>
      </c>
    </row>
    <row r="64" spans="3:5" x14ac:dyDescent="0.25">
      <c r="C64" s="73">
        <v>50</v>
      </c>
      <c r="D64" s="74" t="s">
        <v>77</v>
      </c>
      <c r="E64" s="74" t="s">
        <v>194</v>
      </c>
    </row>
    <row r="65" spans="3:5" x14ac:dyDescent="0.25">
      <c r="C65" s="73">
        <v>51</v>
      </c>
      <c r="D65" s="74" t="s">
        <v>195</v>
      </c>
      <c r="E65" s="74"/>
    </row>
    <row r="66" spans="3:5" x14ac:dyDescent="0.25">
      <c r="C66" s="73">
        <v>52</v>
      </c>
      <c r="D66" s="74" t="s">
        <v>196</v>
      </c>
      <c r="E66" s="74"/>
    </row>
  </sheetData>
  <mergeCells count="10">
    <mergeCell ref="C46:E46"/>
    <mergeCell ref="C51:E51"/>
    <mergeCell ref="C55:E55"/>
    <mergeCell ref="C59:E59"/>
    <mergeCell ref="C5:E5"/>
    <mergeCell ref="C9:E9"/>
    <mergeCell ref="C16:E16"/>
    <mergeCell ref="C24:E24"/>
    <mergeCell ref="C29:E29"/>
    <mergeCell ref="C33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Physical Progress as per SP</vt:lpstr>
      <vt:lpstr>1</vt:lpstr>
      <vt:lpstr>Machineries</vt:lpstr>
      <vt:lpstr>Physical Progress</vt:lpstr>
      <vt:lpstr>Schedule</vt:lpstr>
      <vt:lpstr>means of finance </vt:lpstr>
      <vt:lpstr>Proposed machineries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Abhishek Sharma</cp:lastModifiedBy>
  <dcterms:created xsi:type="dcterms:W3CDTF">2022-03-22T05:04:41Z</dcterms:created>
  <dcterms:modified xsi:type="dcterms:W3CDTF">2022-04-15T13:46:05Z</dcterms:modified>
</cp:coreProperties>
</file>