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AV EV" sheetId="1" r:id="rId1"/>
    <sheet name="Sheet1" sheetId="9" r:id="rId2"/>
    <sheet name="Fixed Assets" sheetId="3" r:id="rId3"/>
    <sheet name="Non Current Investment" sheetId="5" r:id="rId4"/>
    <sheet name="Current Assets" sheetId="7" r:id="rId5"/>
    <sheet name="Equity &amp; Liabilities" sheetId="8" r:id="rId6"/>
  </sheets>
  <calcPr calcId="152511"/>
</workbook>
</file>

<file path=xl/calcChain.xml><?xml version="1.0" encoding="utf-8"?>
<calcChain xmlns="http://schemas.openxmlformats.org/spreadsheetml/2006/main">
  <c r="E53" i="1" l="1"/>
  <c r="E54" i="1" l="1"/>
  <c r="E47" i="1"/>
  <c r="H127" i="8"/>
  <c r="E127" i="8"/>
  <c r="H124" i="8"/>
  <c r="E124" i="8"/>
  <c r="E119" i="8"/>
  <c r="E46" i="1"/>
  <c r="H121" i="8"/>
  <c r="H119" i="8"/>
  <c r="H118" i="8"/>
  <c r="H117" i="8"/>
  <c r="H116" i="8"/>
  <c r="H115" i="8"/>
  <c r="H114" i="8"/>
  <c r="H113" i="8"/>
  <c r="H112" i="8"/>
  <c r="H111" i="8"/>
  <c r="H110" i="8"/>
  <c r="E121" i="8"/>
  <c r="E118" i="8"/>
  <c r="E117" i="8"/>
  <c r="E116" i="8"/>
  <c r="E115" i="8"/>
  <c r="E114" i="8"/>
  <c r="E113" i="8"/>
  <c r="E112" i="8"/>
  <c r="E111" i="8"/>
  <c r="E110" i="8"/>
  <c r="E105" i="8"/>
  <c r="E45" i="1"/>
  <c r="H107" i="8"/>
  <c r="E107" i="8"/>
  <c r="H105" i="8"/>
  <c r="E44" i="1"/>
  <c r="H94" i="8"/>
  <c r="H98" i="8"/>
  <c r="H91" i="8"/>
  <c r="H89" i="8"/>
  <c r="H102" i="8" s="1"/>
  <c r="H86" i="8"/>
  <c r="E102" i="8"/>
  <c r="E98" i="8"/>
  <c r="E94" i="8"/>
  <c r="E91" i="8"/>
  <c r="E89" i="8"/>
  <c r="E86" i="8"/>
  <c r="E77" i="8"/>
  <c r="E39" i="1"/>
  <c r="H79" i="8"/>
  <c r="E79" i="8"/>
  <c r="H77" i="8"/>
  <c r="E72" i="8"/>
  <c r="E38" i="1"/>
  <c r="H74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E74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41" i="8"/>
  <c r="E37" i="1"/>
  <c r="H51" i="8"/>
  <c r="E51" i="8"/>
  <c r="H49" i="8"/>
  <c r="E49" i="1" l="1"/>
  <c r="E55" i="1" s="1"/>
  <c r="H41" i="8"/>
  <c r="H37" i="8"/>
  <c r="H46" i="8" s="1"/>
  <c r="E36" i="1" s="1"/>
  <c r="E41" i="1" s="1"/>
  <c r="E46" i="8"/>
  <c r="E37" i="8"/>
  <c r="E31" i="8"/>
  <c r="H20" i="8"/>
  <c r="H21" i="8"/>
  <c r="H22" i="8"/>
  <c r="H25" i="8"/>
  <c r="H26" i="8"/>
  <c r="H27" i="8"/>
  <c r="E29" i="8"/>
  <c r="E27" i="8"/>
  <c r="E25" i="8"/>
  <c r="E22" i="8"/>
  <c r="E21" i="8"/>
  <c r="E20" i="8"/>
  <c r="E13" i="8"/>
  <c r="H13" i="8" s="1"/>
  <c r="H15" i="8" s="1"/>
  <c r="E30" i="1" s="1"/>
  <c r="E11" i="8"/>
  <c r="E21" i="1"/>
  <c r="H60" i="7"/>
  <c r="E60" i="7"/>
  <c r="H54" i="7"/>
  <c r="H50" i="7"/>
  <c r="H46" i="7"/>
  <c r="E56" i="7"/>
  <c r="H56" i="7" s="1"/>
  <c r="E55" i="7"/>
  <c r="H55" i="7" s="1"/>
  <c r="E54" i="7"/>
  <c r="E53" i="7"/>
  <c r="H53" i="7" s="1"/>
  <c r="E52" i="7"/>
  <c r="H52" i="7" s="1"/>
  <c r="E51" i="7"/>
  <c r="H51" i="7" s="1"/>
  <c r="E50" i="7"/>
  <c r="E49" i="7"/>
  <c r="H49" i="7" s="1"/>
  <c r="E48" i="7"/>
  <c r="H48" i="7" s="1"/>
  <c r="E47" i="7"/>
  <c r="H47" i="7" s="1"/>
  <c r="E46" i="7"/>
  <c r="E45" i="7"/>
  <c r="H45" i="7" s="1"/>
  <c r="E44" i="7"/>
  <c r="H44" i="7" s="1"/>
  <c r="E43" i="7"/>
  <c r="H43" i="7" s="1"/>
  <c r="E34" i="7"/>
  <c r="H34" i="7" s="1"/>
  <c r="E29" i="7"/>
  <c r="E36" i="7" s="1"/>
  <c r="E24" i="7"/>
  <c r="H24" i="7" s="1"/>
  <c r="E22" i="7"/>
  <c r="E26" i="7" s="1"/>
  <c r="H29" i="8" l="1"/>
  <c r="E31" i="1" s="1"/>
  <c r="E33" i="1" s="1"/>
  <c r="E51" i="1" s="1"/>
  <c r="E15" i="8"/>
  <c r="H11" i="8"/>
  <c r="H58" i="7"/>
  <c r="E58" i="7"/>
  <c r="H22" i="7"/>
  <c r="H26" i="7" s="1"/>
  <c r="E19" i="1" s="1"/>
  <c r="H29" i="7"/>
  <c r="H36" i="7" s="1"/>
  <c r="E20" i="1" s="1"/>
  <c r="H31" i="8" l="1"/>
  <c r="E16" i="7"/>
  <c r="H16" i="7" s="1"/>
  <c r="E13" i="7"/>
  <c r="H13" i="7" s="1"/>
  <c r="E12" i="7"/>
  <c r="E11" i="7" s="1"/>
  <c r="H11" i="7" s="1"/>
  <c r="E15" i="7" l="1"/>
  <c r="H15" i="7" s="1"/>
  <c r="H12" i="7"/>
  <c r="E13" i="1"/>
  <c r="E10" i="5"/>
  <c r="E13" i="5" s="1"/>
  <c r="H18" i="7" l="1"/>
  <c r="E18" i="1" s="1"/>
  <c r="E23" i="1" s="1"/>
  <c r="E18" i="7"/>
  <c r="H10" i="5"/>
  <c r="H13" i="5" s="1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62" i="3"/>
  <c r="H31" i="3"/>
  <c r="H32" i="3"/>
  <c r="H33" i="3"/>
  <c r="H34" i="3"/>
  <c r="H36" i="3"/>
  <c r="H38" i="3"/>
  <c r="H40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3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10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2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0" i="3"/>
  <c r="E38" i="3"/>
  <c r="E36" i="3"/>
  <c r="E34" i="3"/>
  <c r="E33" i="3"/>
  <c r="E32" i="3"/>
  <c r="E31" i="3"/>
  <c r="E30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H79" i="3" l="1"/>
  <c r="H59" i="3"/>
  <c r="H27" i="3"/>
  <c r="E79" i="3"/>
  <c r="E59" i="3"/>
  <c r="E27" i="3"/>
  <c r="H81" i="3" l="1"/>
  <c r="E11" i="1" s="1"/>
  <c r="E15" i="1" s="1"/>
  <c r="E25" i="1" s="1"/>
  <c r="E57" i="1" s="1"/>
  <c r="E81" i="3"/>
  <c r="D47" i="1" l="1"/>
  <c r="D46" i="1"/>
  <c r="D45" i="1"/>
  <c r="D44" i="1"/>
  <c r="D49" i="1" s="1"/>
  <c r="D36" i="1"/>
  <c r="D39" i="1"/>
  <c r="D38" i="1"/>
  <c r="D37" i="1"/>
  <c r="D31" i="1"/>
  <c r="D30" i="1"/>
  <c r="D33" i="1" s="1"/>
  <c r="D21" i="1"/>
  <c r="D20" i="1"/>
  <c r="D19" i="1"/>
  <c r="D18" i="1"/>
  <c r="D13" i="1"/>
  <c r="D11" i="1"/>
  <c r="D15" i="1" s="1"/>
  <c r="D23" i="1" l="1"/>
  <c r="D41" i="1"/>
  <c r="D51" i="1" s="1"/>
  <c r="D25" i="1"/>
</calcChain>
</file>

<file path=xl/sharedStrings.xml><?xml version="1.0" encoding="utf-8"?>
<sst xmlns="http://schemas.openxmlformats.org/spreadsheetml/2006/main" count="275" uniqueCount="218">
  <si>
    <t>NET ASSET VALUE (NAV)</t>
  </si>
  <si>
    <t>Fair Market Value</t>
  </si>
  <si>
    <t>Assets:</t>
  </si>
  <si>
    <t>Non-Current Assets</t>
  </si>
  <si>
    <t>Fixed Assets</t>
  </si>
  <si>
    <t>Particular (Values in INR Crores)</t>
  </si>
  <si>
    <t>Total Current Assets</t>
  </si>
  <si>
    <t>Current Liabilities</t>
  </si>
  <si>
    <t>Total Current Liabilities</t>
  </si>
  <si>
    <t>Operational Liabilities</t>
  </si>
  <si>
    <t>ATIBIR INDUSTRIES COMPANY LIMITED</t>
  </si>
  <si>
    <t>Value as per Consolidated Provisional BALANCE SHEET AS AT 31.03.2022</t>
  </si>
  <si>
    <t>Tangible Assets</t>
  </si>
  <si>
    <t>Non Current Investment</t>
  </si>
  <si>
    <t>Current Assets</t>
  </si>
  <si>
    <t>Trade Receivable</t>
  </si>
  <si>
    <t>Cash and Cash equivalents</t>
  </si>
  <si>
    <t>Short Term loans and Advances</t>
  </si>
  <si>
    <t>Inventories</t>
  </si>
  <si>
    <t>Total Assets</t>
  </si>
  <si>
    <t>Total Non-Current Assets</t>
  </si>
  <si>
    <t>Shareholder's Equity and Liabilities:</t>
  </si>
  <si>
    <t>Shareholder's Fund</t>
  </si>
  <si>
    <t xml:space="preserve">Share Capital </t>
  </si>
  <si>
    <t>Reserves &amp; Surplus</t>
  </si>
  <si>
    <t>Total Shareholder's Fund</t>
  </si>
  <si>
    <t>Non-Current Liabilities</t>
  </si>
  <si>
    <t xml:space="preserve">(a)  Long -Term Borrowings </t>
  </si>
  <si>
    <t xml:space="preserve">Long -Term Borrowings </t>
  </si>
  <si>
    <t>Deferred Tax Liabilities</t>
  </si>
  <si>
    <t>Others  Long -Term Liabilities</t>
  </si>
  <si>
    <t>Provision</t>
  </si>
  <si>
    <t>Total Non-Current Liabilities</t>
  </si>
  <si>
    <t>(a) Short -Term Borrowings</t>
  </si>
  <si>
    <t>(b) Trade Payable</t>
  </si>
  <si>
    <t>Short -Term Borrowings</t>
  </si>
  <si>
    <t>Trade Payable</t>
  </si>
  <si>
    <t>Other Current Liabilities</t>
  </si>
  <si>
    <t>Short Term Proviisions</t>
  </si>
  <si>
    <t>Total Shareholder's Equity and Liabilities:</t>
  </si>
  <si>
    <t>FIXED ASSETS</t>
  </si>
  <si>
    <t>TANGIBLE ASSETS</t>
  </si>
  <si>
    <t>SPONGE IRON UNIT</t>
  </si>
  <si>
    <t>PARTICULARS</t>
  </si>
  <si>
    <t>LAND</t>
  </si>
  <si>
    <t>FACTORY SHED &amp; BUILDING</t>
  </si>
  <si>
    <t>PLANT &amp; MACHINERY</t>
  </si>
  <si>
    <t>ELECTRICAL INSTALLATIONS</t>
  </si>
  <si>
    <t>GENERATOR</t>
  </si>
  <si>
    <t>PAY LOADER</t>
  </si>
  <si>
    <t>WEIGH BRIDGE</t>
  </si>
  <si>
    <t>POLLUTION CONTROL EQUIP.</t>
  </si>
  <si>
    <t>AIR CONDITIONERS</t>
  </si>
  <si>
    <t>FURNITURE &amp; FIXTURES</t>
  </si>
  <si>
    <t>BUS &amp; DUMPHER</t>
  </si>
  <si>
    <t>MOTOR CARS</t>
  </si>
  <si>
    <t>MOTOR CYCLE</t>
  </si>
  <si>
    <t>COMPUTERS</t>
  </si>
  <si>
    <t>XEROX MACHINE</t>
  </si>
  <si>
    <t>TELEVISION &amp; REFRIGERATOR</t>
  </si>
  <si>
    <t>MISCELLANEOUS EQUIPMENTS</t>
  </si>
  <si>
    <t>TOTAL : (A)</t>
  </si>
  <si>
    <t>BLAST FURNACE UNIT</t>
  </si>
  <si>
    <t>LAND &amp; LAND DEVELOPMENT</t>
  </si>
  <si>
    <t>OFFICE BUILDING</t>
  </si>
  <si>
    <t>BOUNDARY WALL</t>
  </si>
  <si>
    <t>STAFF &amp; LABOUR QUARTER</t>
  </si>
  <si>
    <t>SINTER DIVISION</t>
  </si>
  <si>
    <t>PELLET PLANT</t>
  </si>
  <si>
    <t>OXYGEN PLANT</t>
  </si>
  <si>
    <t>MISCELLANEOUS FIXED ASSETS</t>
  </si>
  <si>
    <t>POLLUTION CONTROL EQUIPMENTS</t>
  </si>
  <si>
    <t>EARTH MOVING MACHINE</t>
  </si>
  <si>
    <t>WATER RESERVOIR</t>
  </si>
  <si>
    <t>LABORATORY EQUIPMENTS</t>
  </si>
  <si>
    <t>BUS, TRACTOR &amp; DUMPHER</t>
  </si>
  <si>
    <t>REFRIGERATOR</t>
  </si>
  <si>
    <t>TELEVISION</t>
  </si>
  <si>
    <t>OFFICE EQUIPMENTS</t>
  </si>
  <si>
    <t>TOTAL : (B)</t>
  </si>
  <si>
    <t>Building Expansion Unit</t>
  </si>
  <si>
    <t>Water Reservoir</t>
  </si>
  <si>
    <t>D. G. Sets</t>
  </si>
  <si>
    <t>Electrical Installation (Expansion)</t>
  </si>
  <si>
    <t>Laboratory Equipment (Expansion)</t>
  </si>
  <si>
    <t>Oxygen Plant (Expansion)</t>
  </si>
  <si>
    <t>Furniture &amp; Fixtures</t>
  </si>
  <si>
    <t>Motor Car</t>
  </si>
  <si>
    <t>Misc fixed assets</t>
  </si>
  <si>
    <t>IT Software &amp; Hardware</t>
  </si>
  <si>
    <t>Earth moving machine</t>
  </si>
  <si>
    <t>Crawler crane</t>
  </si>
  <si>
    <t>Winch Machine</t>
  </si>
  <si>
    <t>OTHER ASSETS( Gross) -WIP</t>
  </si>
  <si>
    <t>TOTAL : (C)</t>
  </si>
  <si>
    <t>TOTAL : (A+B+C)</t>
  </si>
  <si>
    <t>Net Block as on 31st March 2022</t>
  </si>
  <si>
    <t>Factor</t>
  </si>
  <si>
    <t>TOTAL</t>
  </si>
  <si>
    <t>NON CURRENT INVESTMENTS</t>
  </si>
  <si>
    <t>(UNQUOTED AND NON TRADE)-AT COST</t>
  </si>
  <si>
    <t>4,20,000 Equity shares of Atibir Hi-Tech Pvt Ltd of Rs.10/-each</t>
  </si>
  <si>
    <t>Value as on 31st March 2022</t>
  </si>
  <si>
    <t>(A) Inventories</t>
  </si>
  <si>
    <t>INVENTORIES</t>
  </si>
  <si>
    <t>(At lower of Cost and Net realisable Value)</t>
  </si>
  <si>
    <t>Raw Marterials ( Indigenous)</t>
  </si>
  <si>
    <t>Raw Marterials ( Imported)</t>
  </si>
  <si>
    <t>Finished Products / By Products</t>
  </si>
  <si>
    <t>Other Materails :-</t>
  </si>
  <si>
    <t>Stores &amp; other Consumables ( Indigenous)</t>
  </si>
  <si>
    <t>Stores &amp; other Consumables ( imported)</t>
  </si>
  <si>
    <t>Total</t>
  </si>
  <si>
    <t>(B) TRADE RECEIVABLES</t>
  </si>
  <si>
    <t>Trade receiivable outsanding for a period exceeding Six months</t>
  </si>
  <si>
    <t>Trade receiivable outsanding for a period Below Six months</t>
  </si>
  <si>
    <t>Cash In Hand-unit-2</t>
  </si>
  <si>
    <t>cash in Hand -unit-1</t>
  </si>
  <si>
    <t>Current account in SBI</t>
  </si>
  <si>
    <t>Balance with banks</t>
  </si>
  <si>
    <t>" Fixed Deposit Account</t>
  </si>
  <si>
    <t>(C). CASH &amp; CASH EQUIVALAENTS</t>
  </si>
  <si>
    <t>(UNSECURED  ,CONSIDERED GOODS)</t>
  </si>
  <si>
    <t>SECURITY DEPOSITES</t>
  </si>
  <si>
    <t xml:space="preserve">Duty and Taxes  Receiable  ( GST &amp;  Income Tax  &amp; TDS) </t>
  </si>
  <si>
    <t>Advance for R/M</t>
  </si>
  <si>
    <t>Payable  for Expenses</t>
  </si>
  <si>
    <t>Advance for automobile</t>
  </si>
  <si>
    <t>Advance for Expenses</t>
  </si>
  <si>
    <t>advance for imported Cons. Store</t>
  </si>
  <si>
    <t>Advance . Store &amp; Consumables</t>
  </si>
  <si>
    <t>Advance for Raw materails</t>
  </si>
  <si>
    <t>Advance  for Expenses</t>
  </si>
  <si>
    <t>Capital advance to Supplier</t>
  </si>
  <si>
    <t>Subsidy Receiable from Jharkhand Govt ( Revenue Subsidy)</t>
  </si>
  <si>
    <t>Advances for Expenses ( others)</t>
  </si>
  <si>
    <t>BMW Finance India Pvt Ltd ( Receiable)</t>
  </si>
  <si>
    <t>(D) SHORT TERM LOANS AND ADVANCES</t>
  </si>
  <si>
    <t>Shareholder's Equity and Liabilities</t>
  </si>
  <si>
    <t>Authorised :</t>
  </si>
  <si>
    <t>3,24,90,000 Equity Shares of Rs 10/- each</t>
  </si>
  <si>
    <t xml:space="preserve">Issued, Subscribed &amp; Paid up : </t>
  </si>
  <si>
    <t>(A) SHARE CAPITAL</t>
  </si>
  <si>
    <t>(B) RESERVES &amp; SURPLUS</t>
  </si>
  <si>
    <t xml:space="preserve">RESERVES &amp; SURPLUS </t>
  </si>
  <si>
    <t>Profit &amp; Loss Account Opening Balance</t>
  </si>
  <si>
    <t xml:space="preserve">Profit &amp; Loss Account during the Year </t>
  </si>
  <si>
    <t>Other Reserve (Amalgamation &amp; NBFC Reserve)</t>
  </si>
  <si>
    <t>Securities Premium Account  :</t>
  </si>
  <si>
    <t>Opening Balance</t>
  </si>
  <si>
    <t>Add : Premium of  shares issued</t>
  </si>
  <si>
    <t>Closing Balance</t>
  </si>
  <si>
    <t>Grand Total</t>
  </si>
  <si>
    <t>1. SHARE HOLDERS' FUNDS</t>
  </si>
  <si>
    <t>2. NON CURRENT LIABITIES</t>
  </si>
  <si>
    <t>LONG TERM BORROWINGS</t>
  </si>
  <si>
    <t>(UNIT - II)</t>
  </si>
  <si>
    <t xml:space="preserve">State Bank of India, IFB Branch, Kolkata </t>
  </si>
  <si>
    <t>In Term Loan Account</t>
  </si>
  <si>
    <t>(A/C No.37748374983)</t>
  </si>
  <si>
    <t>Including Unrealised Interest on Term Loan of SBI</t>
  </si>
  <si>
    <t>Indian Bank, Kolkata :</t>
  </si>
  <si>
    <t>(A/C No.664123049-8)</t>
  </si>
  <si>
    <t>Including Unrealised Interest on Term Loan of  INDIAN BANK</t>
  </si>
  <si>
    <t>Deferred Tax Liabilities Up to 31.03.2018</t>
  </si>
  <si>
    <t>OTHER LONG TERM BORROWINGS</t>
  </si>
  <si>
    <t>Highlight Infrastuctare Pvt. Ltd.</t>
  </si>
  <si>
    <t>Marvellous Construction Pvt Ltd</t>
  </si>
  <si>
    <t>Paras Kumar Sarawgi (Loan) A/c</t>
  </si>
  <si>
    <t>Prayag Chand Khetsi Dass Auto Pvt Ltd</t>
  </si>
  <si>
    <t>Quality Realtors and Developer Pvt Ltd(Loan)</t>
  </si>
  <si>
    <t>Samir Kumar Sarawgi (Loan) A/c</t>
  </si>
  <si>
    <t>Samir Srawgi (HUF)</t>
  </si>
  <si>
    <t>Sandip Kumar Sarawgi (Loan A/c)</t>
  </si>
  <si>
    <t>Santosh Kumar Sarawgi (HUF)</t>
  </si>
  <si>
    <t>Shikhar Reaidev Pvt Ltd</t>
  </si>
  <si>
    <t>Shivansh Residency Pvt Ltd</t>
  </si>
  <si>
    <t>Shri Paras Finance Pvt Ltd</t>
  </si>
  <si>
    <t>Sribir Marketing Services Pvt Ltd(Loan)</t>
  </si>
  <si>
    <t>Starmar Buildhome Pvt Ltd</t>
  </si>
  <si>
    <t>Starmark Realcon Pvt Ltd (Loan)</t>
  </si>
  <si>
    <t>Sumangal Residency Pvt Ltd</t>
  </si>
  <si>
    <t>Universal Residency Pvt Ltd</t>
  </si>
  <si>
    <t>(b) DEFERRED TAX LIABILITIES</t>
  </si>
  <si>
    <t>C. Others  Long -Term Liabilities</t>
  </si>
  <si>
    <t>D. Long -Term Provision</t>
  </si>
  <si>
    <t>2. CURRENT LIABITIES</t>
  </si>
  <si>
    <t>State Bank of India, Kolkata</t>
  </si>
  <si>
    <t>In Cash Credit Account (Stocks)</t>
  </si>
  <si>
    <t>(A/C No.38405967749)</t>
  </si>
  <si>
    <t xml:space="preserve">INCLUDING Unrealised Interest on cash credit account of SBI </t>
  </si>
  <si>
    <t>Holding of opertion account of SBI</t>
  </si>
  <si>
    <t>In Working Capital Loan A/c (WCL Cash Credit)</t>
  </si>
  <si>
    <t xml:space="preserve">INCLUDING Unrealised Interest on  WCTL  OF SBI </t>
  </si>
  <si>
    <t>Punjab National Bank, Jamshedpur :</t>
  </si>
  <si>
    <t>(A/C No.0225008700008666)</t>
  </si>
  <si>
    <t xml:space="preserve">INCLUDING Unrealised Interest on  cash credit  of  PNB </t>
  </si>
  <si>
    <t>(A/C No.775241252)</t>
  </si>
  <si>
    <t>INCLUDING Unrealised Interest on  cash credit  of  INDIAN BANK</t>
  </si>
  <si>
    <t>Others than acceptances ( Trade Payable)</t>
  </si>
  <si>
    <t>C. Other Current Liabilities</t>
  </si>
  <si>
    <t>Statutory Remittance- Duty &amp; Taxes</t>
  </si>
  <si>
    <t>sundry creditors -Other</t>
  </si>
  <si>
    <t>Sundry creditors - Expenses  ( See Note -Annexure-1)</t>
  </si>
  <si>
    <t>Sundry  Creditors For DVC ( Electricity)</t>
  </si>
  <si>
    <t>Sundry creditos - Capital goods</t>
  </si>
  <si>
    <t>Other CURRENT LIABILITIES- Directors</t>
  </si>
  <si>
    <t>Sundry Creditors ( Expenses)</t>
  </si>
  <si>
    <t>Advance from R/M</t>
  </si>
  <si>
    <t xml:space="preserve">Sundry creditos ( Store and consumable) </t>
  </si>
  <si>
    <t xml:space="preserve">Advance from Customer </t>
  </si>
  <si>
    <t>(d) Short Term Proviisions</t>
  </si>
  <si>
    <t xml:space="preserve">For Current Tax </t>
  </si>
  <si>
    <t>( Net Advance Tax &amp; TDS)</t>
  </si>
  <si>
    <t>Contingent Liabilities</t>
  </si>
  <si>
    <t>Total Adjustable Liabilities</t>
  </si>
  <si>
    <t>Adjusted NAV</t>
  </si>
  <si>
    <t>VIS (2022-23)-PL046-Q007-032-056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</si>
</sst>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Verdana"/>
      <family val="2"/>
    </font>
    <font>
      <b/>
      <u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2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vertical="center"/>
    </xf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10" fillId="4" borderId="0" xfId="0" applyFont="1" applyFill="1" applyBorder="1"/>
    <xf numFmtId="2" fontId="0" fillId="0" borderId="0" xfId="0" applyNumberFormat="1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4" borderId="0" xfId="0" applyFont="1" applyFill="1" applyBorder="1"/>
    <xf numFmtId="0" fontId="0" fillId="0" borderId="0" xfId="0" applyAlignment="1">
      <alignment horizontal="left" wrapText="1" indent="2"/>
    </xf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0" fillId="0" borderId="0" xfId="0" applyAlignment="1">
      <alignment horizontal="left" indent="4"/>
    </xf>
    <xf numFmtId="0" fontId="10" fillId="4" borderId="0" xfId="0" applyFont="1" applyFill="1" applyBorder="1" applyAlignment="1">
      <alignment horizontal="left" indent="1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5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2" fillId="0" borderId="0" xfId="0" applyFont="1" applyBorder="1" applyAlignment="1"/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2:E85"/>
  <sheetViews>
    <sheetView showGridLines="0" tabSelected="1" topLeftCell="A36" workbookViewId="0">
      <selection activeCell="E57" sqref="E57"/>
    </sheetView>
  </sheetViews>
  <sheetFormatPr defaultRowHeight="15" x14ac:dyDescent="0.25"/>
  <cols>
    <col min="1" max="1" width="3.42578125" customWidth="1"/>
    <col min="2" max="2" width="40" customWidth="1"/>
    <col min="4" max="4" width="35.28515625" customWidth="1"/>
    <col min="5" max="5" width="28.28515625" customWidth="1"/>
    <col min="6" max="6" width="23" customWidth="1"/>
  </cols>
  <sheetData>
    <row r="2" spans="2:5" ht="25.5" customHeight="1" x14ac:dyDescent="0.25">
      <c r="B2" s="21" t="s">
        <v>10</v>
      </c>
      <c r="C2" s="21"/>
      <c r="D2" s="21"/>
      <c r="E2" s="21"/>
    </row>
    <row r="4" spans="2:5" ht="18.75" customHeight="1" x14ac:dyDescent="0.25">
      <c r="B4" s="22" t="s">
        <v>0</v>
      </c>
      <c r="C4" s="22"/>
      <c r="D4" s="22"/>
      <c r="E4" s="22"/>
    </row>
    <row r="6" spans="2:5" ht="36.75" customHeight="1" x14ac:dyDescent="0.25">
      <c r="B6" s="3" t="s">
        <v>5</v>
      </c>
      <c r="C6" s="2"/>
      <c r="D6" s="25" t="s">
        <v>11</v>
      </c>
      <c r="E6" s="20" t="s">
        <v>1</v>
      </c>
    </row>
    <row r="7" spans="2:5" x14ac:dyDescent="0.25">
      <c r="D7" s="23"/>
      <c r="E7" s="23"/>
    </row>
    <row r="8" spans="2:5" ht="20.25" customHeight="1" x14ac:dyDescent="0.3">
      <c r="B8" s="6" t="s">
        <v>2</v>
      </c>
      <c r="D8" s="23"/>
      <c r="E8" s="23"/>
    </row>
    <row r="9" spans="2:5" ht="22.5" customHeight="1" x14ac:dyDescent="0.25">
      <c r="B9" s="4" t="s">
        <v>3</v>
      </c>
      <c r="D9" s="23"/>
      <c r="E9" s="23"/>
    </row>
    <row r="10" spans="2:5" ht="20.25" customHeight="1" x14ac:dyDescent="0.25">
      <c r="B10" s="12" t="s">
        <v>4</v>
      </c>
      <c r="D10" s="23"/>
      <c r="E10" s="23"/>
    </row>
    <row r="11" spans="2:5" x14ac:dyDescent="0.25">
      <c r="B11" s="11" t="s">
        <v>12</v>
      </c>
      <c r="D11" s="10">
        <f>1518565845.72/10^7</f>
        <v>151.856584572</v>
      </c>
      <c r="E11" s="10">
        <f>'Fixed Assets'!H81</f>
        <v>133.40807385699998</v>
      </c>
    </row>
    <row r="12" spans="2:5" x14ac:dyDescent="0.25">
      <c r="B12" s="9"/>
      <c r="D12" s="10"/>
      <c r="E12" s="10"/>
    </row>
    <row r="13" spans="2:5" x14ac:dyDescent="0.25">
      <c r="B13" s="12" t="s">
        <v>13</v>
      </c>
      <c r="D13" s="10">
        <f>9439000/10^7</f>
        <v>0.94389999999999996</v>
      </c>
      <c r="E13" s="10">
        <f>'Non Current Investment'!H13</f>
        <v>0.94389999999999996</v>
      </c>
    </row>
    <row r="14" spans="2:5" x14ac:dyDescent="0.25">
      <c r="B14" s="12"/>
      <c r="D14" s="10"/>
      <c r="E14" s="10"/>
    </row>
    <row r="15" spans="2:5" x14ac:dyDescent="0.25">
      <c r="B15" s="27" t="s">
        <v>20</v>
      </c>
      <c r="C15" s="28"/>
      <c r="D15" s="18">
        <f>D11+D13</f>
        <v>152.80048457200002</v>
      </c>
      <c r="E15" s="18">
        <f>E11+E13</f>
        <v>134.35197385699999</v>
      </c>
    </row>
    <row r="16" spans="2:5" x14ac:dyDescent="0.25">
      <c r="B16" s="9"/>
      <c r="D16" s="10"/>
      <c r="E16" s="10"/>
    </row>
    <row r="17" spans="2:5" x14ac:dyDescent="0.25">
      <c r="B17" s="4" t="s">
        <v>14</v>
      </c>
      <c r="D17" s="10"/>
      <c r="E17" s="10"/>
    </row>
    <row r="18" spans="2:5" x14ac:dyDescent="0.25">
      <c r="B18" s="11" t="s">
        <v>18</v>
      </c>
      <c r="D18" s="10">
        <f>1408890218/10^7</f>
        <v>140.88902179999999</v>
      </c>
      <c r="E18" s="10">
        <f>'Current Assets'!H18</f>
        <v>137.88687659999999</v>
      </c>
    </row>
    <row r="19" spans="2:5" x14ac:dyDescent="0.25">
      <c r="B19" s="11" t="s">
        <v>15</v>
      </c>
      <c r="D19" s="10">
        <f>503154581.73/10^7</f>
        <v>50.315458173000003</v>
      </c>
      <c r="E19" s="10">
        <f>'Current Assets'!H26</f>
        <v>48.329295923000004</v>
      </c>
    </row>
    <row r="20" spans="2:5" x14ac:dyDescent="0.25">
      <c r="B20" s="11" t="s">
        <v>16</v>
      </c>
      <c r="D20" s="10">
        <f>5128884.94/10^7</f>
        <v>0.51288849400000003</v>
      </c>
      <c r="E20" s="10">
        <f>'Current Assets'!H36</f>
        <v>0.51288849400000003</v>
      </c>
    </row>
    <row r="21" spans="2:5" x14ac:dyDescent="0.25">
      <c r="B21" s="11" t="s">
        <v>17</v>
      </c>
      <c r="D21" s="10">
        <f>1834183835.3/10^7</f>
        <v>183.41838353</v>
      </c>
      <c r="E21" s="10">
        <f>'Current Assets'!H58</f>
        <v>183.41838353000003</v>
      </c>
    </row>
    <row r="22" spans="2:5" x14ac:dyDescent="0.25">
      <c r="B22" s="11"/>
      <c r="D22" s="10"/>
      <c r="E22" s="10"/>
    </row>
    <row r="23" spans="2:5" x14ac:dyDescent="0.25">
      <c r="B23" s="17" t="s">
        <v>6</v>
      </c>
      <c r="C23" s="28"/>
      <c r="D23" s="18">
        <f>D18+D19+D20+D21</f>
        <v>375.135751997</v>
      </c>
      <c r="E23" s="18">
        <f>E18+E19+E20+E21</f>
        <v>370.14744454700008</v>
      </c>
    </row>
    <row r="24" spans="2:5" x14ac:dyDescent="0.25">
      <c r="B24" s="9"/>
      <c r="D24" s="10"/>
      <c r="E24" s="10"/>
    </row>
    <row r="25" spans="2:5" ht="16.5" customHeight="1" x14ac:dyDescent="0.25">
      <c r="B25" s="27" t="s">
        <v>19</v>
      </c>
      <c r="C25" s="28"/>
      <c r="D25" s="18">
        <f>D15+D23</f>
        <v>527.93623656900002</v>
      </c>
      <c r="E25" s="18">
        <f>E15+E23</f>
        <v>504.49941840400004</v>
      </c>
    </row>
    <row r="26" spans="2:5" x14ac:dyDescent="0.25">
      <c r="B26" s="9"/>
      <c r="D26" s="10"/>
      <c r="E26" s="10"/>
    </row>
    <row r="27" spans="2:5" ht="17.25" x14ac:dyDescent="0.3">
      <c r="B27" s="6" t="s">
        <v>21</v>
      </c>
      <c r="D27" s="10"/>
      <c r="E27" s="10"/>
    </row>
    <row r="28" spans="2:5" x14ac:dyDescent="0.25">
      <c r="B28" s="9"/>
      <c r="D28" s="10"/>
      <c r="E28" s="10"/>
    </row>
    <row r="29" spans="2:5" x14ac:dyDescent="0.25">
      <c r="B29" s="12" t="s">
        <v>22</v>
      </c>
      <c r="D29" s="10"/>
      <c r="E29" s="10"/>
    </row>
    <row r="30" spans="2:5" x14ac:dyDescent="0.25">
      <c r="B30" s="11" t="s">
        <v>23</v>
      </c>
      <c r="D30" s="10">
        <f>318059340/10^7</f>
        <v>31.805934000000001</v>
      </c>
      <c r="E30" s="10">
        <f>'Equity &amp; Liabilities'!H15</f>
        <v>31.805934000000001</v>
      </c>
    </row>
    <row r="31" spans="2:5" x14ac:dyDescent="0.25">
      <c r="B31" s="11" t="s">
        <v>24</v>
      </c>
      <c r="D31" s="10">
        <f>-1221018966.28/10^7</f>
        <v>-122.10189662799999</v>
      </c>
      <c r="E31" s="10">
        <f>'Equity &amp; Liabilities'!H29</f>
        <v>-122.10189662800005</v>
      </c>
    </row>
    <row r="32" spans="2:5" x14ac:dyDescent="0.25">
      <c r="D32" s="10"/>
      <c r="E32" s="10"/>
    </row>
    <row r="33" spans="2:5" x14ac:dyDescent="0.25">
      <c r="B33" s="28" t="s">
        <v>25</v>
      </c>
      <c r="C33" s="28"/>
      <c r="D33" s="18">
        <f>D30+D31</f>
        <v>-90.295962627999984</v>
      </c>
      <c r="E33" s="18">
        <f>E30+E31</f>
        <v>-90.295962628000041</v>
      </c>
    </row>
    <row r="34" spans="2:5" x14ac:dyDescent="0.25">
      <c r="D34" s="10"/>
      <c r="E34" s="10"/>
    </row>
    <row r="35" spans="2:5" x14ac:dyDescent="0.25">
      <c r="B35" s="12" t="s">
        <v>26</v>
      </c>
      <c r="D35" s="10"/>
      <c r="E35" s="10"/>
    </row>
    <row r="36" spans="2:5" x14ac:dyDescent="0.25">
      <c r="B36" s="11" t="s">
        <v>28</v>
      </c>
      <c r="D36" s="10">
        <f>259232380.85/10^7</f>
        <v>25.923238084999998</v>
      </c>
      <c r="E36" s="10">
        <f>'Equity &amp; Liabilities'!H46</f>
        <v>25.923238085000001</v>
      </c>
    </row>
    <row r="37" spans="2:5" x14ac:dyDescent="0.25">
      <c r="B37" s="11" t="s">
        <v>29</v>
      </c>
      <c r="D37" s="10">
        <f>0/10^7</f>
        <v>0</v>
      </c>
      <c r="E37" s="10">
        <f>'Equity &amp; Liabilities'!H51</f>
        <v>0</v>
      </c>
    </row>
    <row r="38" spans="2:5" x14ac:dyDescent="0.25">
      <c r="B38" s="11" t="s">
        <v>30</v>
      </c>
      <c r="D38" s="10">
        <f>312035594.31/10^7</f>
        <v>31.203559430999999</v>
      </c>
      <c r="E38" s="10">
        <f>'Equity &amp; Liabilities'!H74</f>
        <v>31.203559430999999</v>
      </c>
    </row>
    <row r="39" spans="2:5" x14ac:dyDescent="0.25">
      <c r="B39" s="11" t="s">
        <v>31</v>
      </c>
      <c r="D39" s="10">
        <f>16540888/10^7</f>
        <v>1.6540888</v>
      </c>
      <c r="E39" s="10">
        <f>'Equity &amp; Liabilities'!H79</f>
        <v>1.6540888</v>
      </c>
    </row>
    <row r="40" spans="2:5" ht="15.75" x14ac:dyDescent="0.25">
      <c r="B40" s="5"/>
      <c r="D40" s="23"/>
      <c r="E40" s="23"/>
    </row>
    <row r="41" spans="2:5" x14ac:dyDescent="0.25">
      <c r="B41" s="28" t="s">
        <v>32</v>
      </c>
      <c r="C41" s="28"/>
      <c r="D41" s="18">
        <f>D36+D37+D38+D39</f>
        <v>58.780886315999993</v>
      </c>
      <c r="E41" s="18">
        <f>E36+E37+E38+E39</f>
        <v>58.780886315999993</v>
      </c>
    </row>
    <row r="42" spans="2:5" x14ac:dyDescent="0.25">
      <c r="D42" s="10"/>
      <c r="E42" s="10"/>
    </row>
    <row r="43" spans="2:5" x14ac:dyDescent="0.25">
      <c r="B43" s="12" t="s">
        <v>7</v>
      </c>
      <c r="D43" s="10"/>
      <c r="E43" s="10"/>
    </row>
    <row r="44" spans="2:5" x14ac:dyDescent="0.25">
      <c r="B44" s="11" t="s">
        <v>35</v>
      </c>
      <c r="D44" s="10">
        <f>4824265782.51/10^7</f>
        <v>482.42657825100002</v>
      </c>
      <c r="E44" s="10">
        <f>'Equity &amp; Liabilities'!H102</f>
        <v>482.42657825100002</v>
      </c>
    </row>
    <row r="45" spans="2:5" x14ac:dyDescent="0.25">
      <c r="B45" s="11" t="s">
        <v>36</v>
      </c>
      <c r="D45" s="10">
        <f>243736617.08/10^7</f>
        <v>24.373661708</v>
      </c>
      <c r="E45" s="10">
        <f>'Equity &amp; Liabilities'!H107</f>
        <v>24.373661708</v>
      </c>
    </row>
    <row r="46" spans="2:5" x14ac:dyDescent="0.25">
      <c r="B46" s="11" t="s">
        <v>37</v>
      </c>
      <c r="D46" s="10">
        <f>383237846.4/10^7</f>
        <v>38.32378464</v>
      </c>
      <c r="E46" s="10">
        <f>'Equity &amp; Liabilities'!H121</f>
        <v>38.323784639999992</v>
      </c>
    </row>
    <row r="47" spans="2:5" x14ac:dyDescent="0.25">
      <c r="B47" s="11" t="s">
        <v>38</v>
      </c>
      <c r="D47" s="10">
        <f>143272883/10^7</f>
        <v>14.327288299999999</v>
      </c>
      <c r="E47" s="10">
        <f>'Equity &amp; Liabilities'!H127</f>
        <v>14.327288299999999</v>
      </c>
    </row>
    <row r="48" spans="2:5" x14ac:dyDescent="0.25">
      <c r="B48" s="4"/>
      <c r="C48" s="4"/>
      <c r="D48" s="13"/>
      <c r="E48" s="13"/>
    </row>
    <row r="49" spans="2:5" x14ac:dyDescent="0.25">
      <c r="B49" s="28" t="s">
        <v>8</v>
      </c>
      <c r="C49" s="28"/>
      <c r="D49" s="18">
        <f>D44+D45+D46+D47</f>
        <v>559.45131289899996</v>
      </c>
      <c r="E49" s="18">
        <f>E44+E45+E46+E47</f>
        <v>559.45131289899996</v>
      </c>
    </row>
    <row r="50" spans="2:5" x14ac:dyDescent="0.25">
      <c r="B50" s="4"/>
      <c r="C50" s="4"/>
      <c r="D50" s="13"/>
      <c r="E50" s="13"/>
    </row>
    <row r="51" spans="2:5" ht="18.75" customHeight="1" x14ac:dyDescent="0.25">
      <c r="B51" s="30" t="s">
        <v>39</v>
      </c>
      <c r="C51" s="30"/>
      <c r="D51" s="16">
        <f>D33+D41+D49</f>
        <v>527.93623658699994</v>
      </c>
      <c r="E51" s="16">
        <f>E33+E41+E49</f>
        <v>527.93623658699994</v>
      </c>
    </row>
    <row r="52" spans="2:5" ht="12" customHeight="1" x14ac:dyDescent="0.25">
      <c r="B52" s="4"/>
      <c r="C52" s="4"/>
      <c r="D52" s="13"/>
      <c r="E52" s="13"/>
    </row>
    <row r="53" spans="2:5" ht="17.25" customHeight="1" x14ac:dyDescent="0.25">
      <c r="B53" s="66" t="s">
        <v>9</v>
      </c>
      <c r="C53" s="26"/>
      <c r="D53" s="47"/>
      <c r="E53" s="47">
        <f>SUM(E45:E47)</f>
        <v>77.024734647999992</v>
      </c>
    </row>
    <row r="54" spans="2:5" ht="17.25" customHeight="1" x14ac:dyDescent="0.25">
      <c r="B54" s="66" t="s">
        <v>214</v>
      </c>
      <c r="C54" s="26"/>
      <c r="D54" s="47"/>
      <c r="E54" s="47">
        <f>1242758644/10^7</f>
        <v>124.2758644</v>
      </c>
    </row>
    <row r="55" spans="2:5" ht="17.25" customHeight="1" x14ac:dyDescent="0.25">
      <c r="B55" s="65" t="s">
        <v>215</v>
      </c>
      <c r="C55" s="4"/>
      <c r="D55" s="13"/>
      <c r="E55" s="13">
        <f>SUM(E53:E54)</f>
        <v>201.30059904799998</v>
      </c>
    </row>
    <row r="56" spans="2:5" x14ac:dyDescent="0.25">
      <c r="B56" s="4"/>
      <c r="C56" s="4"/>
      <c r="D56" s="13"/>
      <c r="E56" s="13"/>
    </row>
    <row r="57" spans="2:5" ht="21" customHeight="1" x14ac:dyDescent="0.25">
      <c r="B57" s="3" t="s">
        <v>216</v>
      </c>
      <c r="C57" s="1"/>
      <c r="D57" s="1"/>
      <c r="E57" s="24">
        <f>E25-E55</f>
        <v>303.19881935600006</v>
      </c>
    </row>
    <row r="58" spans="2:5" ht="18.75" customHeight="1" x14ac:dyDescent="0.25">
      <c r="B58" s="4"/>
      <c r="C58" s="4"/>
      <c r="D58" s="13"/>
      <c r="E58" s="13"/>
    </row>
    <row r="59" spans="2:5" x14ac:dyDescent="0.25">
      <c r="B59" s="4"/>
      <c r="C59" s="4"/>
      <c r="D59" s="13"/>
      <c r="E59" s="13"/>
    </row>
    <row r="60" spans="2:5" x14ac:dyDescent="0.25">
      <c r="B60" s="4"/>
      <c r="C60" s="4"/>
      <c r="D60" s="13"/>
      <c r="E60" s="13"/>
    </row>
    <row r="61" spans="2:5" x14ac:dyDescent="0.25">
      <c r="B61" s="4"/>
      <c r="C61" s="4"/>
      <c r="D61" s="13"/>
      <c r="E61" s="13"/>
    </row>
    <row r="62" spans="2:5" x14ac:dyDescent="0.25">
      <c r="B62" s="4"/>
      <c r="C62" s="4"/>
      <c r="D62" s="13"/>
      <c r="E62" s="13"/>
    </row>
    <row r="63" spans="2:5" x14ac:dyDescent="0.25">
      <c r="B63" s="4"/>
      <c r="C63" s="4"/>
      <c r="D63" s="13"/>
      <c r="E63" s="13"/>
    </row>
    <row r="64" spans="2:5" ht="20.25" customHeight="1" x14ac:dyDescent="0.25">
      <c r="B64" s="4"/>
      <c r="C64" s="4"/>
      <c r="D64" s="13"/>
      <c r="E64" s="13"/>
    </row>
    <row r="65" spans="2:5" x14ac:dyDescent="0.25">
      <c r="B65" s="4"/>
      <c r="C65" s="4"/>
      <c r="D65" s="13"/>
      <c r="E65" s="13"/>
    </row>
    <row r="66" spans="2:5" x14ac:dyDescent="0.25">
      <c r="B66" s="4"/>
      <c r="C66" s="4"/>
      <c r="D66" s="13"/>
      <c r="E66" s="13"/>
    </row>
    <row r="67" spans="2:5" x14ac:dyDescent="0.25">
      <c r="B67" s="4"/>
      <c r="C67" s="4"/>
      <c r="D67" s="13"/>
      <c r="E67" s="13"/>
    </row>
    <row r="68" spans="2:5" x14ac:dyDescent="0.25">
      <c r="B68" s="4"/>
      <c r="C68" s="4"/>
      <c r="D68" s="13"/>
      <c r="E68" s="13"/>
    </row>
    <row r="69" spans="2:5" x14ac:dyDescent="0.25">
      <c r="B69" s="4"/>
      <c r="C69" s="4"/>
      <c r="D69" s="13"/>
      <c r="E69" s="13"/>
    </row>
    <row r="70" spans="2:5" x14ac:dyDescent="0.25">
      <c r="B70" s="4"/>
      <c r="C70" s="4"/>
      <c r="D70" s="13"/>
      <c r="E70" s="13"/>
    </row>
    <row r="71" spans="2:5" x14ac:dyDescent="0.25">
      <c r="B71" s="4"/>
      <c r="C71" s="4"/>
      <c r="D71" s="13"/>
      <c r="E71" s="13"/>
    </row>
    <row r="72" spans="2:5" x14ac:dyDescent="0.25">
      <c r="B72" s="4"/>
      <c r="C72" s="4"/>
      <c r="D72" s="13"/>
      <c r="E72" s="13"/>
    </row>
    <row r="73" spans="2:5" x14ac:dyDescent="0.25">
      <c r="B73" s="4"/>
      <c r="C73" s="4"/>
      <c r="D73" s="13"/>
      <c r="E73" s="13"/>
    </row>
    <row r="74" spans="2:5" ht="21.75" customHeight="1" x14ac:dyDescent="0.25">
      <c r="B74" s="4"/>
      <c r="C74" s="4"/>
      <c r="D74" s="13"/>
      <c r="E74" s="13"/>
    </row>
    <row r="75" spans="2:5" x14ac:dyDescent="0.25">
      <c r="B75" s="4"/>
      <c r="C75" s="4"/>
      <c r="D75" s="13"/>
      <c r="E75" s="13"/>
    </row>
    <row r="76" spans="2:5" x14ac:dyDescent="0.25">
      <c r="B76" s="4"/>
      <c r="C76" s="4"/>
      <c r="D76" s="13"/>
      <c r="E76" s="13"/>
    </row>
    <row r="77" spans="2:5" x14ac:dyDescent="0.25">
      <c r="B77" s="4"/>
      <c r="C77" s="4"/>
      <c r="D77" s="13"/>
      <c r="E77" s="13"/>
    </row>
    <row r="78" spans="2:5" x14ac:dyDescent="0.25">
      <c r="B78" s="4"/>
      <c r="C78" s="4"/>
      <c r="D78" s="13"/>
      <c r="E78" s="13"/>
    </row>
    <row r="79" spans="2:5" x14ac:dyDescent="0.25">
      <c r="B79" s="4"/>
      <c r="C79" s="4"/>
      <c r="D79" s="13"/>
      <c r="E79" s="13"/>
    </row>
    <row r="80" spans="2:5" ht="26.25" customHeight="1" x14ac:dyDescent="0.25">
      <c r="B80" s="4"/>
      <c r="C80" s="4"/>
      <c r="D80" s="13"/>
      <c r="E80" s="13"/>
    </row>
    <row r="81" spans="2:5" x14ac:dyDescent="0.25">
      <c r="B81" s="4"/>
      <c r="C81" s="4"/>
      <c r="D81" s="13"/>
      <c r="E81" s="13"/>
    </row>
    <row r="82" spans="2:5" x14ac:dyDescent="0.25">
      <c r="B82" s="4"/>
      <c r="C82" s="4"/>
      <c r="D82" s="13"/>
      <c r="E82" s="13"/>
    </row>
    <row r="83" spans="2:5" x14ac:dyDescent="0.25">
      <c r="B83" s="4"/>
      <c r="C83" s="4"/>
      <c r="D83" s="13"/>
      <c r="E83" s="13"/>
    </row>
    <row r="84" spans="2:5" x14ac:dyDescent="0.25">
      <c r="B84" s="4"/>
      <c r="C84" s="4"/>
      <c r="D84" s="13"/>
      <c r="E84" s="13"/>
    </row>
    <row r="85" spans="2:5" x14ac:dyDescent="0.25">
      <c r="B85" s="4"/>
      <c r="C85" s="4"/>
      <c r="D85" s="13"/>
      <c r="E85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C2" sqref="C2"/>
    </sheetView>
  </sheetViews>
  <sheetFormatPr defaultRowHeight="15" x14ac:dyDescent="0.25"/>
  <sheetData>
    <row r="2" spans="3:3" x14ac:dyDescent="0.25">
      <c r="C2" t="s">
        <v>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J81"/>
  <sheetViews>
    <sheetView showGridLines="0" topLeftCell="A61" workbookViewId="0">
      <selection activeCell="J82" sqref="J82"/>
    </sheetView>
  </sheetViews>
  <sheetFormatPr defaultRowHeight="15" x14ac:dyDescent="0.25"/>
  <cols>
    <col min="1" max="1" width="3.7109375" customWidth="1"/>
    <col min="2" max="2" width="28.7109375" customWidth="1"/>
    <col min="3" max="3" width="4.5703125" customWidth="1"/>
    <col min="4" max="4" width="4.140625" customWidth="1"/>
    <col min="5" max="5" width="37" customWidth="1"/>
    <col min="6" max="6" width="5.7109375" customWidth="1"/>
    <col min="7" max="7" width="3.85546875" customWidth="1"/>
    <col min="8" max="8" width="25" customWidth="1"/>
    <col min="10" max="10" width="12" customWidth="1"/>
  </cols>
  <sheetData>
    <row r="2" spans="2:10" ht="17.25" customHeight="1" x14ac:dyDescent="0.25">
      <c r="B2" s="32" t="s">
        <v>10</v>
      </c>
      <c r="C2" s="31"/>
      <c r="D2" s="31"/>
      <c r="E2" s="31"/>
      <c r="F2" s="31"/>
      <c r="G2" s="31"/>
      <c r="H2" s="31"/>
      <c r="I2" s="31"/>
      <c r="J2" s="31"/>
    </row>
    <row r="3" spans="2:10" ht="10.5" customHeight="1" x14ac:dyDescent="0.25"/>
    <row r="4" spans="2:10" ht="18" customHeight="1" x14ac:dyDescent="0.25">
      <c r="B4" s="3" t="s">
        <v>40</v>
      </c>
      <c r="C4" s="2"/>
      <c r="D4" s="2"/>
      <c r="E4" s="2"/>
      <c r="F4" s="2"/>
      <c r="G4" s="2"/>
      <c r="H4" s="2"/>
      <c r="I4" s="2"/>
      <c r="J4" s="2"/>
    </row>
    <row r="5" spans="2:10" ht="9.75" customHeight="1" x14ac:dyDescent="0.25"/>
    <row r="6" spans="2:10" ht="18" customHeight="1" x14ac:dyDescent="0.25">
      <c r="B6" s="3" t="s">
        <v>43</v>
      </c>
      <c r="C6" s="3"/>
      <c r="D6" s="3"/>
      <c r="E6" s="20" t="s">
        <v>96</v>
      </c>
      <c r="F6" s="3"/>
      <c r="G6" s="3"/>
      <c r="H6" s="20" t="s">
        <v>1</v>
      </c>
      <c r="I6" s="3"/>
      <c r="J6" s="19" t="s">
        <v>97</v>
      </c>
    </row>
    <row r="7" spans="2:10" ht="10.5" customHeight="1" x14ac:dyDescent="0.25">
      <c r="E7" s="34"/>
    </row>
    <row r="8" spans="2:10" ht="18.75" customHeight="1" x14ac:dyDescent="0.25">
      <c r="B8" s="14" t="s">
        <v>41</v>
      </c>
      <c r="E8" s="34"/>
    </row>
    <row r="9" spans="2:10" ht="20.25" customHeight="1" x14ac:dyDescent="0.25">
      <c r="B9" s="37" t="s">
        <v>42</v>
      </c>
      <c r="E9" s="34"/>
    </row>
    <row r="10" spans="2:10" x14ac:dyDescent="0.25">
      <c r="B10" s="11" t="s">
        <v>44</v>
      </c>
      <c r="E10" s="8">
        <f>8291018/10^7</f>
        <v>0.8291018</v>
      </c>
      <c r="H10" s="8">
        <f>E10*J10</f>
        <v>0.8291018</v>
      </c>
      <c r="J10" s="41">
        <v>1</v>
      </c>
    </row>
    <row r="11" spans="2:10" x14ac:dyDescent="0.25">
      <c r="B11" s="11" t="s">
        <v>45</v>
      </c>
      <c r="E11" s="8">
        <f>807482.43/10^7</f>
        <v>8.0748243000000011E-2</v>
      </c>
      <c r="H11" s="8">
        <f t="shared" ref="H11:H26" si="0">E11*J11</f>
        <v>8.0748243000000011E-2</v>
      </c>
      <c r="J11" s="41">
        <v>1</v>
      </c>
    </row>
    <row r="12" spans="2:10" x14ac:dyDescent="0.25">
      <c r="B12" s="11" t="s">
        <v>46</v>
      </c>
      <c r="E12" s="8">
        <f>19784483.46/10^7</f>
        <v>1.9784483460000002</v>
      </c>
      <c r="H12" s="8">
        <f t="shared" si="0"/>
        <v>1.7806035114000003</v>
      </c>
      <c r="J12" s="41">
        <v>0.9</v>
      </c>
    </row>
    <row r="13" spans="2:10" x14ac:dyDescent="0.25">
      <c r="B13" s="11" t="s">
        <v>47</v>
      </c>
      <c r="E13" s="8">
        <f>2093998.06/10^7</f>
        <v>0.20939980599999999</v>
      </c>
      <c r="H13" s="8">
        <f t="shared" si="0"/>
        <v>0.16751984480000001</v>
      </c>
      <c r="J13" s="41">
        <v>0.8</v>
      </c>
    </row>
    <row r="14" spans="2:10" x14ac:dyDescent="0.25">
      <c r="B14" s="11" t="s">
        <v>48</v>
      </c>
      <c r="E14" s="8">
        <f>226797.52/10^7</f>
        <v>2.2679751999999997E-2</v>
      </c>
      <c r="H14" s="8">
        <f t="shared" si="0"/>
        <v>1.8143801599999999E-2</v>
      </c>
      <c r="J14" s="41">
        <v>0.8</v>
      </c>
    </row>
    <row r="15" spans="2:10" x14ac:dyDescent="0.25">
      <c r="B15" s="11" t="s">
        <v>49</v>
      </c>
      <c r="E15" s="8">
        <f>541653.32/10^7</f>
        <v>5.4165331999999997E-2</v>
      </c>
      <c r="H15" s="8">
        <f t="shared" si="0"/>
        <v>4.3332265600000003E-2</v>
      </c>
      <c r="J15" s="41">
        <v>0.8</v>
      </c>
    </row>
    <row r="16" spans="2:10" x14ac:dyDescent="0.25">
      <c r="B16" s="11" t="s">
        <v>50</v>
      </c>
      <c r="E16" s="8">
        <f>80154/10^7</f>
        <v>8.0154000000000006E-3</v>
      </c>
      <c r="H16" s="8">
        <f t="shared" si="0"/>
        <v>6.4123200000000009E-3</v>
      </c>
      <c r="J16" s="41">
        <v>0.8</v>
      </c>
    </row>
    <row r="17" spans="2:10" x14ac:dyDescent="0.25">
      <c r="B17" s="11" t="s">
        <v>51</v>
      </c>
      <c r="E17" s="8">
        <f>4765472.72/10^7</f>
        <v>0.47654727199999997</v>
      </c>
      <c r="H17" s="8">
        <f t="shared" si="0"/>
        <v>0.47654727199999997</v>
      </c>
      <c r="J17" s="41">
        <v>1</v>
      </c>
    </row>
    <row r="18" spans="2:10" x14ac:dyDescent="0.25">
      <c r="B18" s="11" t="s">
        <v>52</v>
      </c>
      <c r="E18" s="8">
        <f>89324.17/10^7</f>
        <v>8.9324169999999998E-3</v>
      </c>
      <c r="H18" s="8">
        <f t="shared" si="0"/>
        <v>4.4662084999999999E-3</v>
      </c>
      <c r="J18" s="41">
        <v>0.5</v>
      </c>
    </row>
    <row r="19" spans="2:10" x14ac:dyDescent="0.25">
      <c r="B19" s="11" t="s">
        <v>53</v>
      </c>
      <c r="E19" s="8">
        <f>51343.33/10^7</f>
        <v>5.1343330000000005E-3</v>
      </c>
      <c r="H19" s="8">
        <f t="shared" si="0"/>
        <v>2.5671665000000002E-3</v>
      </c>
      <c r="J19" s="41">
        <v>0.5</v>
      </c>
    </row>
    <row r="20" spans="2:10" x14ac:dyDescent="0.25">
      <c r="B20" s="11" t="s">
        <v>54</v>
      </c>
      <c r="E20" s="8">
        <f>437746.75/10^7</f>
        <v>4.3774674999999999E-2</v>
      </c>
      <c r="H20" s="8">
        <f t="shared" si="0"/>
        <v>2.18873375E-2</v>
      </c>
      <c r="J20" s="41">
        <v>0.5</v>
      </c>
    </row>
    <row r="21" spans="2:10" x14ac:dyDescent="0.25">
      <c r="B21" s="11" t="s">
        <v>55</v>
      </c>
      <c r="E21" s="8">
        <f>554620.3/10^7</f>
        <v>5.5462030000000002E-2</v>
      </c>
      <c r="H21" s="8">
        <f t="shared" si="0"/>
        <v>2.7731015000000001E-2</v>
      </c>
      <c r="J21" s="41">
        <v>0.5</v>
      </c>
    </row>
    <row r="22" spans="2:10" x14ac:dyDescent="0.25">
      <c r="B22" s="11" t="s">
        <v>56</v>
      </c>
      <c r="E22" s="8">
        <f>12663/10^7</f>
        <v>1.2662999999999999E-3</v>
      </c>
      <c r="H22" s="8">
        <f t="shared" si="0"/>
        <v>6.3314999999999997E-4</v>
      </c>
      <c r="J22" s="41">
        <v>0.5</v>
      </c>
    </row>
    <row r="23" spans="2:10" x14ac:dyDescent="0.25">
      <c r="B23" s="11" t="s">
        <v>57</v>
      </c>
      <c r="E23" s="8">
        <f>66122.8/10^7</f>
        <v>6.6122799999999999E-3</v>
      </c>
      <c r="H23" s="8">
        <f t="shared" si="0"/>
        <v>3.3061399999999999E-3</v>
      </c>
      <c r="J23" s="41">
        <v>0.5</v>
      </c>
    </row>
    <row r="24" spans="2:10" x14ac:dyDescent="0.25">
      <c r="B24" s="11" t="s">
        <v>58</v>
      </c>
      <c r="E24" s="8">
        <f>3639.84/10^7</f>
        <v>3.6398400000000003E-4</v>
      </c>
      <c r="H24" s="8">
        <f t="shared" si="0"/>
        <v>1.8199200000000002E-4</v>
      </c>
      <c r="J24" s="41">
        <v>0.5</v>
      </c>
    </row>
    <row r="25" spans="2:10" x14ac:dyDescent="0.25">
      <c r="B25" s="11" t="s">
        <v>59</v>
      </c>
      <c r="E25" s="8">
        <f>859.97/10^7</f>
        <v>8.5996999999999997E-5</v>
      </c>
      <c r="H25" s="8">
        <f t="shared" si="0"/>
        <v>4.2998499999999998E-5</v>
      </c>
      <c r="J25" s="41">
        <v>0.5</v>
      </c>
    </row>
    <row r="26" spans="2:10" x14ac:dyDescent="0.25">
      <c r="B26" s="11" t="s">
        <v>60</v>
      </c>
      <c r="E26" s="8">
        <f>225908.8/10^7</f>
        <v>2.2590879999999997E-2</v>
      </c>
      <c r="H26" s="8">
        <f t="shared" si="0"/>
        <v>1.1295439999999999E-2</v>
      </c>
      <c r="J26" s="41">
        <v>0.5</v>
      </c>
    </row>
    <row r="27" spans="2:10" ht="18.75" customHeight="1" x14ac:dyDescent="0.25">
      <c r="B27" s="30" t="s">
        <v>61</v>
      </c>
      <c r="C27" s="30"/>
      <c r="D27" s="30"/>
      <c r="E27" s="16">
        <f>SUM(E10:E26)</f>
        <v>3.8033288470000004</v>
      </c>
      <c r="F27" s="36"/>
      <c r="G27" s="36"/>
      <c r="H27" s="16">
        <f>SUM(H10:H26)</f>
        <v>3.4745205064000002</v>
      </c>
      <c r="I27" s="36"/>
      <c r="J27" s="36"/>
    </row>
    <row r="28" spans="2:10" x14ac:dyDescent="0.25">
      <c r="E28" s="34"/>
    </row>
    <row r="29" spans="2:10" ht="18.75" customHeight="1" x14ac:dyDescent="0.25">
      <c r="B29" s="37" t="s">
        <v>62</v>
      </c>
      <c r="E29" s="34"/>
    </row>
    <row r="30" spans="2:10" x14ac:dyDescent="0.25">
      <c r="B30" s="11" t="s">
        <v>63</v>
      </c>
      <c r="E30" s="8">
        <f>58190559.91/10^7</f>
        <v>5.8190559909999999</v>
      </c>
      <c r="H30" s="8">
        <f>E30*J30</f>
        <v>5.8190559909999999</v>
      </c>
      <c r="J30" s="41">
        <v>1</v>
      </c>
    </row>
    <row r="31" spans="2:10" x14ac:dyDescent="0.25">
      <c r="B31" s="11" t="s">
        <v>64</v>
      </c>
      <c r="E31" s="8">
        <f>5796599.65/10^7</f>
        <v>0.57965996500000005</v>
      </c>
      <c r="H31" s="8">
        <f t="shared" ref="H31:H58" si="1">E31*J31</f>
        <v>0.52169396850000005</v>
      </c>
      <c r="J31" s="41">
        <v>0.9</v>
      </c>
    </row>
    <row r="32" spans="2:10" x14ac:dyDescent="0.25">
      <c r="B32" s="11" t="s">
        <v>65</v>
      </c>
      <c r="E32" s="8">
        <f>4509215.13/10^7</f>
        <v>0.450921513</v>
      </c>
      <c r="H32" s="8">
        <f t="shared" si="1"/>
        <v>0.36073721040000001</v>
      </c>
      <c r="J32" s="41">
        <v>0.8</v>
      </c>
    </row>
    <row r="33" spans="2:10" x14ac:dyDescent="0.25">
      <c r="B33" s="11" t="s">
        <v>66</v>
      </c>
      <c r="E33" s="8">
        <f>4930946.75/10^7</f>
        <v>0.49309467499999998</v>
      </c>
      <c r="H33" s="8">
        <f t="shared" si="1"/>
        <v>0.39447574000000002</v>
      </c>
      <c r="J33" s="41">
        <v>0.8</v>
      </c>
    </row>
    <row r="34" spans="2:10" x14ac:dyDescent="0.25">
      <c r="B34" s="11" t="s">
        <v>46</v>
      </c>
      <c r="E34" s="8">
        <f>181645538.57/10^7</f>
        <v>18.164553856999998</v>
      </c>
      <c r="H34" s="8">
        <f t="shared" si="1"/>
        <v>14.531643085599999</v>
      </c>
      <c r="J34" s="41">
        <v>0.8</v>
      </c>
    </row>
    <row r="35" spans="2:10" ht="20.25" customHeight="1" x14ac:dyDescent="0.25">
      <c r="B35" s="37" t="s">
        <v>67</v>
      </c>
      <c r="E35" s="8"/>
      <c r="H35" s="8"/>
      <c r="J35" s="41"/>
    </row>
    <row r="36" spans="2:10" x14ac:dyDescent="0.25">
      <c r="B36" s="11" t="s">
        <v>46</v>
      </c>
      <c r="E36" s="8">
        <f>73868709.53/10^7</f>
        <v>7.3868709529999999</v>
      </c>
      <c r="H36" s="8">
        <f t="shared" si="1"/>
        <v>6.6481838577000003</v>
      </c>
      <c r="J36" s="41">
        <v>0.9</v>
      </c>
    </row>
    <row r="37" spans="2:10" ht="18" customHeight="1" x14ac:dyDescent="0.25">
      <c r="B37" s="37" t="s">
        <v>68</v>
      </c>
      <c r="E37" s="8"/>
      <c r="H37" s="8"/>
      <c r="J37" s="41"/>
    </row>
    <row r="38" spans="2:10" x14ac:dyDescent="0.25">
      <c r="B38" s="11" t="s">
        <v>46</v>
      </c>
      <c r="E38" s="8">
        <f>124885091.54/10^7</f>
        <v>12.488509154000001</v>
      </c>
      <c r="H38" s="8">
        <f t="shared" si="1"/>
        <v>11.239658238600001</v>
      </c>
      <c r="J38" s="41">
        <v>0.9</v>
      </c>
    </row>
    <row r="39" spans="2:10" ht="18.75" customHeight="1" x14ac:dyDescent="0.25">
      <c r="B39" s="37" t="s">
        <v>69</v>
      </c>
      <c r="E39" s="8"/>
      <c r="H39" s="8"/>
      <c r="J39" s="41"/>
    </row>
    <row r="40" spans="2:10" x14ac:dyDescent="0.25">
      <c r="B40" s="11" t="s">
        <v>46</v>
      </c>
      <c r="E40" s="8">
        <f>9491760.96/10^7</f>
        <v>0.94917609600000008</v>
      </c>
      <c r="H40" s="8">
        <f t="shared" si="1"/>
        <v>0.75934087680000006</v>
      </c>
      <c r="J40" s="41">
        <v>0.8</v>
      </c>
    </row>
    <row r="41" spans="2:10" ht="21" customHeight="1" x14ac:dyDescent="0.25">
      <c r="B41" s="37" t="s">
        <v>70</v>
      </c>
      <c r="E41" s="8"/>
      <c r="H41" s="8"/>
      <c r="J41" s="41"/>
    </row>
    <row r="42" spans="2:10" x14ac:dyDescent="0.25">
      <c r="B42" s="11" t="s">
        <v>71</v>
      </c>
      <c r="E42" s="8">
        <f>2728793.69/10^7</f>
        <v>0.27287936899999998</v>
      </c>
      <c r="H42" s="8">
        <f t="shared" si="1"/>
        <v>0.27287936899999998</v>
      </c>
      <c r="J42" s="41">
        <v>1</v>
      </c>
    </row>
    <row r="43" spans="2:10" x14ac:dyDescent="0.25">
      <c r="B43" s="11" t="s">
        <v>72</v>
      </c>
      <c r="E43" s="8">
        <f>32164591.89/10^7</f>
        <v>3.2164591890000001</v>
      </c>
      <c r="H43" s="8">
        <f t="shared" si="1"/>
        <v>2.8948132701000002</v>
      </c>
      <c r="J43" s="41">
        <v>0.9</v>
      </c>
    </row>
    <row r="44" spans="2:10" x14ac:dyDescent="0.25">
      <c r="B44" s="11" t="s">
        <v>73</v>
      </c>
      <c r="E44" s="8">
        <f>178008.01/10^7</f>
        <v>1.7800801000000002E-2</v>
      </c>
      <c r="H44" s="8">
        <f t="shared" si="1"/>
        <v>8.9004005000000008E-3</v>
      </c>
      <c r="J44" s="41">
        <v>0.5</v>
      </c>
    </row>
    <row r="45" spans="2:10" x14ac:dyDescent="0.25">
      <c r="B45" s="11" t="s">
        <v>48</v>
      </c>
      <c r="E45" s="8">
        <f>3369873.37/10^7</f>
        <v>0.336987337</v>
      </c>
      <c r="H45" s="8">
        <f t="shared" si="1"/>
        <v>0.1684936685</v>
      </c>
      <c r="J45" s="41">
        <v>0.5</v>
      </c>
    </row>
    <row r="46" spans="2:10" x14ac:dyDescent="0.25">
      <c r="B46" s="11" t="s">
        <v>47</v>
      </c>
      <c r="E46" s="8">
        <f>21382310.78/10^7</f>
        <v>2.138231078</v>
      </c>
      <c r="H46" s="8">
        <f t="shared" si="1"/>
        <v>1.069115539</v>
      </c>
      <c r="J46" s="41">
        <v>0.5</v>
      </c>
    </row>
    <row r="47" spans="2:10" x14ac:dyDescent="0.25">
      <c r="B47" s="11" t="s">
        <v>50</v>
      </c>
      <c r="E47" s="8">
        <f>511729.5/10^7</f>
        <v>5.1172950000000002E-2</v>
      </c>
      <c r="H47" s="8">
        <f t="shared" si="1"/>
        <v>2.5586475000000001E-2</v>
      </c>
      <c r="J47" s="41">
        <v>0.5</v>
      </c>
    </row>
    <row r="48" spans="2:10" x14ac:dyDescent="0.25">
      <c r="B48" s="11" t="s">
        <v>52</v>
      </c>
      <c r="E48" s="8">
        <f>438947.62/10^7</f>
        <v>4.3894761999999997E-2</v>
      </c>
      <c r="H48" s="8">
        <f t="shared" si="1"/>
        <v>2.1947380999999998E-2</v>
      </c>
      <c r="J48" s="41">
        <v>0.5</v>
      </c>
    </row>
    <row r="49" spans="2:10" x14ac:dyDescent="0.25">
      <c r="B49" s="11" t="s">
        <v>74</v>
      </c>
      <c r="E49" s="8">
        <f>1072123.12/10^7</f>
        <v>0.10721231200000002</v>
      </c>
      <c r="H49" s="8">
        <f t="shared" si="1"/>
        <v>3.2163693600000001E-2</v>
      </c>
      <c r="J49" s="41">
        <v>0.3</v>
      </c>
    </row>
    <row r="50" spans="2:10" x14ac:dyDescent="0.25">
      <c r="B50" s="11" t="s">
        <v>53</v>
      </c>
      <c r="E50" s="8">
        <f>327114.38/10^7</f>
        <v>3.2711438000000002E-2</v>
      </c>
      <c r="H50" s="8">
        <f t="shared" si="1"/>
        <v>1.6355719000000001E-2</v>
      </c>
      <c r="J50" s="41">
        <v>0.5</v>
      </c>
    </row>
    <row r="51" spans="2:10" x14ac:dyDescent="0.25">
      <c r="B51" s="11" t="s">
        <v>75</v>
      </c>
      <c r="E51" s="8">
        <f>6231101.36/10^7</f>
        <v>0.62311013599999998</v>
      </c>
      <c r="H51" s="8">
        <f t="shared" si="1"/>
        <v>0.37386608159999996</v>
      </c>
      <c r="J51" s="41">
        <v>0.6</v>
      </c>
    </row>
    <row r="52" spans="2:10" x14ac:dyDescent="0.25">
      <c r="B52" s="11" t="s">
        <v>55</v>
      </c>
      <c r="E52" s="8">
        <f>3827936.62/10^7</f>
        <v>0.38279366200000003</v>
      </c>
      <c r="H52" s="8">
        <f t="shared" si="1"/>
        <v>0.22967619720000002</v>
      </c>
      <c r="J52" s="41">
        <v>0.6</v>
      </c>
    </row>
    <row r="53" spans="2:10" x14ac:dyDescent="0.25">
      <c r="B53" s="11" t="s">
        <v>56</v>
      </c>
      <c r="E53" s="8">
        <f>77379/10^7</f>
        <v>7.7378999999999998E-3</v>
      </c>
      <c r="H53" s="8">
        <f t="shared" si="1"/>
        <v>3.8689499999999999E-3</v>
      </c>
      <c r="J53" s="41">
        <v>0.5</v>
      </c>
    </row>
    <row r="54" spans="2:10" x14ac:dyDescent="0.25">
      <c r="B54" s="11" t="s">
        <v>57</v>
      </c>
      <c r="E54" s="8">
        <f>131412.26/10^7</f>
        <v>1.3141226000000001E-2</v>
      </c>
      <c r="H54" s="8">
        <f t="shared" si="1"/>
        <v>3.9423677999999998E-3</v>
      </c>
      <c r="J54" s="41">
        <v>0.3</v>
      </c>
    </row>
    <row r="55" spans="2:10" x14ac:dyDescent="0.25">
      <c r="B55" s="11" t="s">
        <v>76</v>
      </c>
      <c r="E55" s="8">
        <f>27222.1/10^7</f>
        <v>2.7222099999999996E-3</v>
      </c>
      <c r="H55" s="8">
        <f t="shared" si="1"/>
        <v>1.3611049999999998E-3</v>
      </c>
      <c r="J55" s="41">
        <v>0.5</v>
      </c>
    </row>
    <row r="56" spans="2:10" x14ac:dyDescent="0.25">
      <c r="B56" s="11" t="s">
        <v>77</v>
      </c>
      <c r="E56" s="8">
        <f>38745.38/10^7</f>
        <v>3.8745379999999999E-3</v>
      </c>
      <c r="H56" s="8">
        <f t="shared" si="1"/>
        <v>1.9372689999999999E-3</v>
      </c>
      <c r="J56" s="41">
        <v>0.5</v>
      </c>
    </row>
    <row r="57" spans="2:10" x14ac:dyDescent="0.25">
      <c r="B57" s="11" t="s">
        <v>78</v>
      </c>
      <c r="E57" s="8">
        <f>769664.91/10^7</f>
        <v>7.6966490999999998E-2</v>
      </c>
      <c r="H57" s="8">
        <f t="shared" si="1"/>
        <v>0</v>
      </c>
      <c r="J57" s="41">
        <v>0</v>
      </c>
    </row>
    <row r="58" spans="2:10" x14ac:dyDescent="0.25">
      <c r="B58" s="11" t="s">
        <v>60</v>
      </c>
      <c r="E58" s="8">
        <f>1635923.27/10^7</f>
        <v>0.16359232700000001</v>
      </c>
      <c r="H58" s="8">
        <f t="shared" si="1"/>
        <v>8.1796163500000005E-2</v>
      </c>
      <c r="J58" s="41">
        <v>0.5</v>
      </c>
    </row>
    <row r="59" spans="2:10" ht="18" customHeight="1" x14ac:dyDescent="0.25">
      <c r="B59" s="30" t="s">
        <v>79</v>
      </c>
      <c r="C59" s="30"/>
      <c r="D59" s="30"/>
      <c r="E59" s="16">
        <f>SUM(E30:E58)</f>
        <v>53.82312993</v>
      </c>
      <c r="F59" s="36"/>
      <c r="G59" s="36"/>
      <c r="H59" s="16">
        <f>SUM(H30:H58)</f>
        <v>45.481492618400004</v>
      </c>
      <c r="I59" s="15"/>
      <c r="J59" s="42"/>
    </row>
    <row r="60" spans="2:10" x14ac:dyDescent="0.25">
      <c r="E60" s="34"/>
    </row>
    <row r="61" spans="2:10" ht="18" customHeight="1" x14ac:dyDescent="0.25">
      <c r="B61" s="35" t="s">
        <v>67</v>
      </c>
      <c r="C61" s="33"/>
      <c r="E61" s="34"/>
    </row>
    <row r="62" spans="2:10" x14ac:dyDescent="0.25">
      <c r="B62" s="11" t="s">
        <v>46</v>
      </c>
      <c r="E62" s="8">
        <f>48156646.58/10^7</f>
        <v>4.8156646580000002</v>
      </c>
      <c r="H62" s="8">
        <f>E62*J62</f>
        <v>4.8156646580000002</v>
      </c>
      <c r="J62" s="41">
        <v>1</v>
      </c>
    </row>
    <row r="63" spans="2:10" ht="19.5" customHeight="1" x14ac:dyDescent="0.25">
      <c r="B63" s="37" t="s">
        <v>62</v>
      </c>
      <c r="E63" s="8"/>
      <c r="H63" s="8"/>
      <c r="J63" s="41"/>
    </row>
    <row r="64" spans="2:10" x14ac:dyDescent="0.25">
      <c r="B64" s="11" t="s">
        <v>46</v>
      </c>
      <c r="E64" s="8">
        <f>670738650.23/10^7</f>
        <v>67.073865022999996</v>
      </c>
      <c r="H64" s="8">
        <f t="shared" ref="H64:H78" si="2">E64*J64</f>
        <v>60.366478520699999</v>
      </c>
      <c r="J64" s="41">
        <v>0.9</v>
      </c>
    </row>
    <row r="65" spans="2:10" x14ac:dyDescent="0.25">
      <c r="B65" s="11" t="s">
        <v>80</v>
      </c>
      <c r="E65" s="8">
        <f>17716510.06/10^7</f>
        <v>1.7716510059999999</v>
      </c>
      <c r="H65" s="8">
        <f t="shared" si="2"/>
        <v>1.7716510059999999</v>
      </c>
      <c r="J65" s="41">
        <v>1</v>
      </c>
    </row>
    <row r="66" spans="2:10" x14ac:dyDescent="0.25">
      <c r="B66" s="11" t="s">
        <v>81</v>
      </c>
      <c r="E66" s="8">
        <f>11421478.63/10^7</f>
        <v>1.1421478630000002</v>
      </c>
      <c r="H66" s="8">
        <f t="shared" si="2"/>
        <v>0.91371829040000019</v>
      </c>
      <c r="J66" s="41">
        <v>0.8</v>
      </c>
    </row>
    <row r="67" spans="2:10" x14ac:dyDescent="0.25">
      <c r="B67" s="11" t="s">
        <v>82</v>
      </c>
      <c r="E67" s="8">
        <f>11932409.02/10^7</f>
        <v>1.1932409019999999</v>
      </c>
      <c r="H67" s="8">
        <f t="shared" si="2"/>
        <v>0.95459272159999997</v>
      </c>
      <c r="J67" s="41">
        <v>0.8</v>
      </c>
    </row>
    <row r="68" spans="2:10" x14ac:dyDescent="0.25">
      <c r="B68" s="11" t="s">
        <v>83</v>
      </c>
      <c r="E68" s="8">
        <f>45623094.81/10^7</f>
        <v>4.5623094810000007</v>
      </c>
      <c r="H68" s="8">
        <f t="shared" si="2"/>
        <v>4.5623094810000007</v>
      </c>
      <c r="J68" s="41">
        <v>1</v>
      </c>
    </row>
    <row r="69" spans="2:10" x14ac:dyDescent="0.25">
      <c r="B69" s="11" t="s">
        <v>84</v>
      </c>
      <c r="E69" s="8">
        <f>5546431.98/10^7</f>
        <v>0.55464319800000006</v>
      </c>
      <c r="H69" s="8">
        <f t="shared" si="2"/>
        <v>0.55464319800000006</v>
      </c>
      <c r="J69" s="41">
        <v>1</v>
      </c>
    </row>
    <row r="70" spans="2:10" x14ac:dyDescent="0.25">
      <c r="B70" s="11" t="s">
        <v>85</v>
      </c>
      <c r="E70" s="8">
        <f>79094020.49/10^7</f>
        <v>7.9094020489999997</v>
      </c>
      <c r="H70" s="8">
        <f t="shared" si="2"/>
        <v>7.9094020489999997</v>
      </c>
      <c r="J70" s="41">
        <v>1</v>
      </c>
    </row>
    <row r="71" spans="2:10" x14ac:dyDescent="0.25">
      <c r="B71" s="11" t="s">
        <v>86</v>
      </c>
      <c r="E71" s="8">
        <f>436682/10^7</f>
        <v>4.3668199999999997E-2</v>
      </c>
      <c r="H71" s="8">
        <f t="shared" si="2"/>
        <v>2.1834099999999999E-2</v>
      </c>
      <c r="J71" s="41">
        <v>0.5</v>
      </c>
    </row>
    <row r="72" spans="2:10" x14ac:dyDescent="0.25">
      <c r="B72" s="11" t="s">
        <v>87</v>
      </c>
      <c r="E72" s="8">
        <f>7214052/10^7</f>
        <v>0.72140519999999997</v>
      </c>
      <c r="H72" s="8">
        <f t="shared" si="2"/>
        <v>0.36070259999999998</v>
      </c>
      <c r="J72" s="41">
        <v>0.5</v>
      </c>
    </row>
    <row r="73" spans="2:10" x14ac:dyDescent="0.25">
      <c r="B73" s="11" t="s">
        <v>88</v>
      </c>
      <c r="E73" s="8">
        <f>759197/10^7</f>
        <v>7.5919700000000007E-2</v>
      </c>
      <c r="H73" s="8">
        <f t="shared" si="2"/>
        <v>3.7959850000000003E-2</v>
      </c>
      <c r="J73" s="41">
        <v>0.5</v>
      </c>
    </row>
    <row r="74" spans="2:10" x14ac:dyDescent="0.25">
      <c r="B74" s="11" t="s">
        <v>89</v>
      </c>
      <c r="E74" s="8">
        <f>336638/10^7</f>
        <v>3.3663800000000001E-2</v>
      </c>
      <c r="H74" s="8">
        <f t="shared" si="2"/>
        <v>1.68319E-2</v>
      </c>
      <c r="J74" s="41">
        <v>0.5</v>
      </c>
    </row>
    <row r="75" spans="2:10" x14ac:dyDescent="0.25">
      <c r="B75" s="11" t="s">
        <v>90</v>
      </c>
      <c r="E75" s="8">
        <f>1664627.98/10^7</f>
        <v>0.166462798</v>
      </c>
      <c r="H75" s="8">
        <f t="shared" si="2"/>
        <v>8.3231398999999998E-2</v>
      </c>
      <c r="J75" s="41">
        <v>0.5</v>
      </c>
    </row>
    <row r="76" spans="2:10" x14ac:dyDescent="0.25">
      <c r="B76" s="11" t="s">
        <v>91</v>
      </c>
      <c r="E76" s="8">
        <f>2904390/10^7</f>
        <v>0.290439</v>
      </c>
      <c r="H76" s="8">
        <f t="shared" si="2"/>
        <v>0.1452195</v>
      </c>
      <c r="J76" s="41">
        <v>0.5</v>
      </c>
    </row>
    <row r="77" spans="2:10" x14ac:dyDescent="0.25">
      <c r="B77" s="11" t="s">
        <v>92</v>
      </c>
      <c r="E77" s="8">
        <f>240007/10^7</f>
        <v>2.40007E-2</v>
      </c>
      <c r="H77" s="8">
        <f t="shared" si="2"/>
        <v>1.200035E-2</v>
      </c>
      <c r="J77" s="41">
        <v>0.5</v>
      </c>
    </row>
    <row r="78" spans="2:10" x14ac:dyDescent="0.25">
      <c r="B78" s="11" t="s">
        <v>93</v>
      </c>
      <c r="E78" s="8">
        <f>38516422.17/10^7</f>
        <v>3.8516422170000002</v>
      </c>
      <c r="H78" s="8">
        <f t="shared" si="2"/>
        <v>1.9258211085000001</v>
      </c>
      <c r="J78" s="41">
        <v>0.5</v>
      </c>
    </row>
    <row r="79" spans="2:10" ht="21.75" customHeight="1" x14ac:dyDescent="0.25">
      <c r="B79" s="30" t="s">
        <v>94</v>
      </c>
      <c r="C79" s="28"/>
      <c r="D79" s="28"/>
      <c r="E79" s="16">
        <f>SUM(E62:E78)</f>
        <v>94.230125795000006</v>
      </c>
      <c r="F79" s="15"/>
      <c r="G79" s="15"/>
      <c r="H79" s="16">
        <f>SUM(H62:H78)</f>
        <v>84.452060732199968</v>
      </c>
      <c r="I79" s="15"/>
      <c r="J79" s="42"/>
    </row>
    <row r="80" spans="2:10" x14ac:dyDescent="0.25">
      <c r="E80" s="34"/>
      <c r="H80" s="7"/>
      <c r="J80" s="34"/>
    </row>
    <row r="81" spans="2:10" ht="20.25" customHeight="1" x14ac:dyDescent="0.25">
      <c r="B81" s="38" t="s">
        <v>95</v>
      </c>
      <c r="C81" s="38"/>
      <c r="D81" s="38"/>
      <c r="E81" s="39">
        <f>SUM(E27+E59+E79)</f>
        <v>151.856584572</v>
      </c>
      <c r="F81" s="40"/>
      <c r="G81" s="40"/>
      <c r="H81" s="39">
        <f>SUM(H27+H59+H79)</f>
        <v>133.40807385699998</v>
      </c>
      <c r="I81" s="40"/>
      <c r="J81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J13"/>
  <sheetViews>
    <sheetView showGridLines="0" workbookViewId="0">
      <selection activeCell="E10" sqref="E10"/>
    </sheetView>
  </sheetViews>
  <sheetFormatPr defaultRowHeight="15" x14ac:dyDescent="0.25"/>
  <cols>
    <col min="1" max="1" width="3.7109375" customWidth="1"/>
    <col min="2" max="2" width="28.7109375" customWidth="1"/>
    <col min="3" max="3" width="4.5703125" customWidth="1"/>
    <col min="4" max="4" width="4.140625" customWidth="1"/>
    <col min="5" max="5" width="37" customWidth="1"/>
    <col min="6" max="6" width="5.7109375" customWidth="1"/>
    <col min="7" max="7" width="3.85546875" customWidth="1"/>
    <col min="8" max="8" width="25" customWidth="1"/>
    <col min="10" max="10" width="12" customWidth="1"/>
  </cols>
  <sheetData>
    <row r="2" spans="2:10" ht="17.25" customHeight="1" x14ac:dyDescent="0.25">
      <c r="B2" s="32" t="s">
        <v>10</v>
      </c>
      <c r="C2" s="31"/>
      <c r="D2" s="31"/>
      <c r="E2" s="31"/>
      <c r="F2" s="31"/>
      <c r="G2" s="31"/>
      <c r="H2" s="31"/>
      <c r="I2" s="31"/>
      <c r="J2" s="31"/>
    </row>
    <row r="3" spans="2:10" ht="10.5" customHeight="1" x14ac:dyDescent="0.25"/>
    <row r="4" spans="2:10" ht="18" customHeight="1" x14ac:dyDescent="0.25">
      <c r="B4" s="3" t="s">
        <v>13</v>
      </c>
      <c r="C4" s="2"/>
      <c r="D4" s="2"/>
      <c r="E4" s="2"/>
      <c r="F4" s="2"/>
      <c r="G4" s="2"/>
      <c r="H4" s="2"/>
      <c r="I4" s="2"/>
      <c r="J4" s="2"/>
    </row>
    <row r="5" spans="2:10" ht="9.75" customHeight="1" x14ac:dyDescent="0.25"/>
    <row r="6" spans="2:10" ht="18" customHeight="1" x14ac:dyDescent="0.25">
      <c r="B6" s="3" t="s">
        <v>43</v>
      </c>
      <c r="C6" s="3"/>
      <c r="D6" s="3"/>
      <c r="E6" s="20" t="s">
        <v>102</v>
      </c>
      <c r="F6" s="3"/>
      <c r="G6" s="3"/>
      <c r="H6" s="20" t="s">
        <v>1</v>
      </c>
      <c r="I6" s="3"/>
      <c r="J6" s="19" t="s">
        <v>97</v>
      </c>
    </row>
    <row r="7" spans="2:10" ht="10.5" customHeight="1" x14ac:dyDescent="0.25">
      <c r="E7" s="34"/>
    </row>
    <row r="8" spans="2:10" ht="18.75" customHeight="1" x14ac:dyDescent="0.25">
      <c r="B8" s="14" t="s">
        <v>99</v>
      </c>
      <c r="E8" s="34"/>
    </row>
    <row r="9" spans="2:10" ht="20.25" customHeight="1" x14ac:dyDescent="0.25">
      <c r="B9" s="44" t="s">
        <v>100</v>
      </c>
      <c r="E9" s="34"/>
    </row>
    <row r="10" spans="2:10" x14ac:dyDescent="0.25">
      <c r="B10" s="45" t="s">
        <v>101</v>
      </c>
      <c r="E10" s="8">
        <f>9439000/10^7</f>
        <v>0.94389999999999996</v>
      </c>
      <c r="H10" s="8">
        <f>E10*J10</f>
        <v>0.94389999999999996</v>
      </c>
      <c r="J10" s="41">
        <v>1</v>
      </c>
    </row>
    <row r="11" spans="2:10" x14ac:dyDescent="0.25">
      <c r="B11" s="11"/>
      <c r="E11" s="8"/>
      <c r="H11" s="8"/>
      <c r="J11" s="41"/>
    </row>
    <row r="12" spans="2:10" x14ac:dyDescent="0.25">
      <c r="E12" s="34"/>
      <c r="H12" s="7"/>
      <c r="J12" s="34"/>
    </row>
    <row r="13" spans="2:10" ht="20.25" customHeight="1" x14ac:dyDescent="0.25">
      <c r="B13" s="38" t="s">
        <v>98</v>
      </c>
      <c r="C13" s="38"/>
      <c r="D13" s="38"/>
      <c r="E13" s="39">
        <f>E10</f>
        <v>0.94389999999999996</v>
      </c>
      <c r="F13" s="39"/>
      <c r="G13" s="39"/>
      <c r="H13" s="39">
        <f t="shared" ref="H13" si="0">H10</f>
        <v>0.94389999999999996</v>
      </c>
      <c r="I13" s="40"/>
      <c r="J13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J60"/>
  <sheetViews>
    <sheetView showGridLines="0" topLeftCell="A40" workbookViewId="0">
      <selection activeCell="H58" sqref="H58"/>
    </sheetView>
  </sheetViews>
  <sheetFormatPr defaultRowHeight="15" x14ac:dyDescent="0.25"/>
  <cols>
    <col min="1" max="1" width="3.7109375" customWidth="1"/>
    <col min="2" max="2" width="40.5703125" customWidth="1"/>
    <col min="3" max="3" width="4.5703125" customWidth="1"/>
    <col min="4" max="4" width="4.140625" customWidth="1"/>
    <col min="5" max="5" width="37" customWidth="1"/>
    <col min="6" max="6" width="5.7109375" customWidth="1"/>
    <col min="7" max="7" width="3.85546875" customWidth="1"/>
    <col min="8" max="8" width="25" customWidth="1"/>
    <col min="10" max="10" width="12" customWidth="1"/>
  </cols>
  <sheetData>
    <row r="2" spans="2:10" ht="17.25" customHeight="1" x14ac:dyDescent="0.25">
      <c r="B2" s="32" t="s">
        <v>10</v>
      </c>
      <c r="C2" s="31"/>
      <c r="D2" s="31"/>
      <c r="E2" s="31"/>
      <c r="F2" s="31"/>
      <c r="G2" s="31"/>
      <c r="H2" s="31"/>
      <c r="I2" s="31"/>
      <c r="J2" s="31"/>
    </row>
    <row r="3" spans="2:10" ht="10.5" customHeight="1" x14ac:dyDescent="0.25"/>
    <row r="4" spans="2:10" ht="18" customHeight="1" x14ac:dyDescent="0.25">
      <c r="B4" s="3" t="s">
        <v>14</v>
      </c>
      <c r="C4" s="2"/>
      <c r="D4" s="2"/>
      <c r="E4" s="2"/>
      <c r="F4" s="2"/>
      <c r="G4" s="2"/>
      <c r="H4" s="2"/>
      <c r="I4" s="2"/>
      <c r="J4" s="2"/>
    </row>
    <row r="5" spans="2:10" ht="9.75" customHeight="1" x14ac:dyDescent="0.25"/>
    <row r="6" spans="2:10" ht="18" customHeight="1" x14ac:dyDescent="0.25">
      <c r="B6" s="3" t="s">
        <v>43</v>
      </c>
      <c r="C6" s="3"/>
      <c r="D6" s="3"/>
      <c r="E6" s="20" t="s">
        <v>102</v>
      </c>
      <c r="F6" s="3"/>
      <c r="G6" s="3"/>
      <c r="H6" s="20" t="s">
        <v>1</v>
      </c>
      <c r="I6" s="3"/>
      <c r="J6" s="19" t="s">
        <v>97</v>
      </c>
    </row>
    <row r="7" spans="2:10" ht="10.5" customHeight="1" x14ac:dyDescent="0.25">
      <c r="E7" s="34"/>
    </row>
    <row r="8" spans="2:10" ht="18.75" customHeight="1" x14ac:dyDescent="0.25">
      <c r="B8" s="14" t="s">
        <v>103</v>
      </c>
      <c r="E8" s="34"/>
    </row>
    <row r="9" spans="2:10" ht="18.75" customHeight="1" x14ac:dyDescent="0.25">
      <c r="B9" s="37" t="s">
        <v>104</v>
      </c>
      <c r="E9" s="34"/>
    </row>
    <row r="10" spans="2:10" ht="18.75" customHeight="1" x14ac:dyDescent="0.25">
      <c r="B10" s="11" t="s">
        <v>105</v>
      </c>
      <c r="E10" s="34"/>
    </row>
    <row r="11" spans="2:10" ht="18.75" customHeight="1" x14ac:dyDescent="0.25">
      <c r="B11" s="11" t="s">
        <v>106</v>
      </c>
      <c r="E11" s="8">
        <f>(584854298.5/10^7+0.5/10^7-E12)</f>
        <v>50.796162018000004</v>
      </c>
      <c r="H11" s="8">
        <f>E11*J11</f>
        <v>50.796162018000004</v>
      </c>
      <c r="J11" s="41">
        <v>1</v>
      </c>
    </row>
    <row r="12" spans="2:10" ht="18.75" customHeight="1" x14ac:dyDescent="0.25">
      <c r="B12" s="11" t="s">
        <v>107</v>
      </c>
      <c r="E12" s="8">
        <f>76892678.82/10^7</f>
        <v>7.6892678819999993</v>
      </c>
      <c r="H12" s="8">
        <f t="shared" ref="H12:H16" si="0">E12*J12</f>
        <v>7.6892678819999993</v>
      </c>
      <c r="J12" s="41">
        <v>1</v>
      </c>
    </row>
    <row r="13" spans="2:10" ht="18.75" customHeight="1" x14ac:dyDescent="0.25">
      <c r="B13" s="11" t="s">
        <v>108</v>
      </c>
      <c r="E13" s="8">
        <f>673928659/10^7</f>
        <v>67.392865900000004</v>
      </c>
      <c r="H13" s="8">
        <f t="shared" si="0"/>
        <v>67.392865900000004</v>
      </c>
      <c r="J13" s="41">
        <v>1</v>
      </c>
    </row>
    <row r="14" spans="2:10" ht="18.75" customHeight="1" x14ac:dyDescent="0.25">
      <c r="B14" s="37" t="s">
        <v>109</v>
      </c>
      <c r="E14" s="34"/>
      <c r="H14" s="8"/>
    </row>
    <row r="15" spans="2:10" x14ac:dyDescent="0.25">
      <c r="B15" s="11" t="s">
        <v>110</v>
      </c>
      <c r="E15" s="8">
        <f>(150107260/10^7-E16)</f>
        <v>11.517925999999999</v>
      </c>
      <c r="H15" s="8">
        <f t="shared" si="0"/>
        <v>9.2143408000000004</v>
      </c>
      <c r="J15" s="41">
        <v>0.8</v>
      </c>
    </row>
    <row r="16" spans="2:10" x14ac:dyDescent="0.25">
      <c r="B16" s="11" t="s">
        <v>111</v>
      </c>
      <c r="E16" s="8">
        <f>34928000/10^7</f>
        <v>3.4927999999999999</v>
      </c>
      <c r="H16" s="8">
        <f t="shared" si="0"/>
        <v>2.7942400000000003</v>
      </c>
      <c r="J16" s="41">
        <v>0.8</v>
      </c>
    </row>
    <row r="17" spans="2:10" x14ac:dyDescent="0.25">
      <c r="B17" s="11"/>
      <c r="E17" s="8"/>
      <c r="H17" s="8"/>
      <c r="J17" s="41"/>
    </row>
    <row r="18" spans="2:10" ht="17.25" customHeight="1" x14ac:dyDescent="0.25">
      <c r="B18" s="49" t="s">
        <v>112</v>
      </c>
      <c r="C18" s="49"/>
      <c r="D18" s="49"/>
      <c r="E18" s="16">
        <f>SUM(E11:E16)</f>
        <v>140.88902179999999</v>
      </c>
      <c r="F18" s="16"/>
      <c r="G18" s="16"/>
      <c r="H18" s="16">
        <f t="shared" ref="H18" si="1">SUM(H11:H16)</f>
        <v>137.88687659999999</v>
      </c>
      <c r="I18" s="49"/>
      <c r="J18" s="48"/>
    </row>
    <row r="19" spans="2:10" x14ac:dyDescent="0.25">
      <c r="B19" s="11"/>
      <c r="E19" s="8"/>
      <c r="H19" s="8"/>
      <c r="J19" s="41"/>
    </row>
    <row r="20" spans="2:10" x14ac:dyDescent="0.25">
      <c r="B20" s="14" t="s">
        <v>113</v>
      </c>
      <c r="E20" s="8"/>
      <c r="H20" s="8"/>
      <c r="J20" s="41"/>
    </row>
    <row r="21" spans="2:10" x14ac:dyDescent="0.25">
      <c r="B21" s="50"/>
      <c r="E21" s="8"/>
      <c r="H21" s="8"/>
      <c r="J21" s="41"/>
    </row>
    <row r="22" spans="2:10" ht="30" x14ac:dyDescent="0.25">
      <c r="B22" s="51" t="s">
        <v>114</v>
      </c>
      <c r="E22" s="8">
        <f>79446490/10^7</f>
        <v>7.9446490000000001</v>
      </c>
      <c r="H22" s="8">
        <f t="shared" ref="H22:H24" si="2">E22*J22</f>
        <v>5.9584867500000005</v>
      </c>
      <c r="J22" s="41">
        <v>0.75</v>
      </c>
    </row>
    <row r="23" spans="2:10" x14ac:dyDescent="0.25">
      <c r="B23" s="11"/>
      <c r="H23" s="8"/>
      <c r="J23" s="41"/>
    </row>
    <row r="24" spans="2:10" ht="30" x14ac:dyDescent="0.25">
      <c r="B24" s="51" t="s">
        <v>115</v>
      </c>
      <c r="E24" s="8">
        <f>423708091.73/10^7</f>
        <v>42.370809173000005</v>
      </c>
      <c r="H24" s="8">
        <f t="shared" si="2"/>
        <v>42.370809173000005</v>
      </c>
      <c r="J24" s="41">
        <v>1</v>
      </c>
    </row>
    <row r="25" spans="2:10" x14ac:dyDescent="0.25">
      <c r="B25" s="11"/>
      <c r="E25" s="8"/>
      <c r="H25" s="8"/>
      <c r="J25" s="41"/>
    </row>
    <row r="26" spans="2:10" x14ac:dyDescent="0.25">
      <c r="B26" s="49" t="s">
        <v>112</v>
      </c>
      <c r="C26" s="49"/>
      <c r="D26" s="49"/>
      <c r="E26" s="16">
        <f>SUM(E22:E24)</f>
        <v>50.315458173000003</v>
      </c>
      <c r="F26" s="16"/>
      <c r="G26" s="16"/>
      <c r="H26" s="16">
        <f>SUM(H22:H24)</f>
        <v>48.329295923000004</v>
      </c>
      <c r="I26" s="49"/>
      <c r="J26" s="48"/>
    </row>
    <row r="27" spans="2:10" x14ac:dyDescent="0.25">
      <c r="B27" s="11"/>
      <c r="E27" s="8"/>
      <c r="H27" s="8"/>
      <c r="J27" s="41"/>
    </row>
    <row r="28" spans="2:10" x14ac:dyDescent="0.25">
      <c r="B28" s="14" t="s">
        <v>121</v>
      </c>
      <c r="E28" s="8"/>
      <c r="H28" s="8"/>
      <c r="J28" s="41"/>
    </row>
    <row r="29" spans="2:10" x14ac:dyDescent="0.25">
      <c r="B29" s="52" t="s">
        <v>116</v>
      </c>
      <c r="E29" s="8">
        <f>697213.04/10^7</f>
        <v>6.9721303999999998E-2</v>
      </c>
      <c r="H29" s="8">
        <f t="shared" ref="H29:H34" si="3">E29*J29</f>
        <v>6.9721303999999998E-2</v>
      </c>
      <c r="J29" s="41">
        <v>1</v>
      </c>
    </row>
    <row r="30" spans="2:10" x14ac:dyDescent="0.25">
      <c r="B30" s="52" t="s">
        <v>117</v>
      </c>
      <c r="E30" s="8"/>
      <c r="H30" s="8"/>
      <c r="J30" s="41"/>
    </row>
    <row r="31" spans="2:10" x14ac:dyDescent="0.25">
      <c r="B31" s="52"/>
      <c r="E31" s="8"/>
      <c r="H31" s="8"/>
      <c r="J31" s="41"/>
    </row>
    <row r="32" spans="2:10" x14ac:dyDescent="0.25">
      <c r="B32" s="52" t="s">
        <v>118</v>
      </c>
      <c r="E32" s="8"/>
      <c r="H32" s="8"/>
      <c r="J32" s="41"/>
    </row>
    <row r="33" spans="2:10" x14ac:dyDescent="0.25">
      <c r="B33" s="52" t="s">
        <v>119</v>
      </c>
      <c r="E33" s="8"/>
      <c r="H33" s="8"/>
      <c r="J33" s="41"/>
    </row>
    <row r="34" spans="2:10" x14ac:dyDescent="0.25">
      <c r="B34" s="52" t="s">
        <v>120</v>
      </c>
      <c r="E34" s="8">
        <f>4431671.9/10^7</f>
        <v>0.44316719000000004</v>
      </c>
      <c r="H34" s="8">
        <f t="shared" si="3"/>
        <v>0.44316719000000004</v>
      </c>
      <c r="J34" s="41">
        <v>1</v>
      </c>
    </row>
    <row r="35" spans="2:10" x14ac:dyDescent="0.25">
      <c r="B35" s="11"/>
      <c r="E35" s="8"/>
      <c r="H35" s="8"/>
      <c r="J35" s="41"/>
    </row>
    <row r="36" spans="2:10" x14ac:dyDescent="0.25">
      <c r="B36" s="49" t="s">
        <v>112</v>
      </c>
      <c r="C36" s="49"/>
      <c r="D36" s="49"/>
      <c r="E36" s="16">
        <f>SUM(E29:E34)</f>
        <v>0.51288849400000003</v>
      </c>
      <c r="F36" s="16"/>
      <c r="G36" s="16"/>
      <c r="H36" s="16">
        <f>SUM(H29:H34)</f>
        <v>0.51288849400000003</v>
      </c>
      <c r="I36" s="49"/>
      <c r="J36" s="48"/>
    </row>
    <row r="37" spans="2:10" x14ac:dyDescent="0.25">
      <c r="B37" s="53"/>
      <c r="C37" s="53"/>
      <c r="D37" s="53"/>
      <c r="E37" s="54"/>
      <c r="F37" s="54"/>
      <c r="G37" s="54"/>
      <c r="H37" s="54"/>
      <c r="I37" s="53"/>
      <c r="J37" s="55"/>
    </row>
    <row r="38" spans="2:10" x14ac:dyDescent="0.25">
      <c r="B38" s="53"/>
      <c r="C38" s="53"/>
      <c r="D38" s="53"/>
      <c r="E38" s="54"/>
      <c r="F38" s="54"/>
      <c r="G38" s="54"/>
      <c r="H38" s="54"/>
      <c r="I38" s="53"/>
      <c r="J38" s="55"/>
    </row>
    <row r="39" spans="2:10" x14ac:dyDescent="0.25">
      <c r="B39" s="53"/>
      <c r="C39" s="53"/>
      <c r="D39" s="53"/>
      <c r="E39" s="54"/>
      <c r="F39" s="54"/>
      <c r="G39" s="54"/>
      <c r="H39" s="54"/>
      <c r="I39" s="53"/>
      <c r="J39" s="55"/>
    </row>
    <row r="40" spans="2:10" x14ac:dyDescent="0.25">
      <c r="B40" s="50"/>
      <c r="C40" s="53"/>
      <c r="D40" s="53"/>
      <c r="E40" s="54"/>
      <c r="F40" s="54"/>
      <c r="G40" s="54"/>
      <c r="H40" s="54"/>
      <c r="I40" s="53"/>
      <c r="J40" s="55"/>
    </row>
    <row r="41" spans="2:10" x14ac:dyDescent="0.25">
      <c r="B41" s="14" t="s">
        <v>137</v>
      </c>
      <c r="C41" s="53"/>
      <c r="D41" s="53"/>
      <c r="F41" s="54"/>
      <c r="G41" s="54"/>
      <c r="H41" s="54"/>
      <c r="I41" s="53"/>
      <c r="J41" s="55"/>
    </row>
    <row r="42" spans="2:10" x14ac:dyDescent="0.25">
      <c r="B42" s="52" t="s">
        <v>122</v>
      </c>
      <c r="C42" s="53"/>
      <c r="D42" s="53"/>
      <c r="F42" s="54"/>
      <c r="G42" s="54"/>
      <c r="H42" s="54"/>
      <c r="I42" s="53"/>
      <c r="J42" s="55"/>
    </row>
    <row r="43" spans="2:10" x14ac:dyDescent="0.25">
      <c r="B43" s="52" t="s">
        <v>123</v>
      </c>
      <c r="C43" s="53"/>
      <c r="D43" s="53"/>
      <c r="E43" s="8">
        <f>62780249/10^7</f>
        <v>6.2780249000000001</v>
      </c>
      <c r="F43" s="54"/>
      <c r="G43" s="54"/>
      <c r="H43" s="8">
        <f t="shared" ref="H43:H56" si="4">E43*J43</f>
        <v>6.2780249000000001</v>
      </c>
      <c r="I43" s="53"/>
      <c r="J43" s="41">
        <v>1</v>
      </c>
    </row>
    <row r="44" spans="2:10" x14ac:dyDescent="0.25">
      <c r="B44" s="52" t="s">
        <v>124</v>
      </c>
      <c r="C44" s="53"/>
      <c r="D44" s="53"/>
      <c r="E44" s="8">
        <f>197040509/10^7</f>
        <v>19.704050899999999</v>
      </c>
      <c r="F44" s="54"/>
      <c r="G44" s="54"/>
      <c r="H44" s="8">
        <f t="shared" si="4"/>
        <v>19.704050899999999</v>
      </c>
      <c r="I44" s="53"/>
      <c r="J44" s="41">
        <v>1</v>
      </c>
    </row>
    <row r="45" spans="2:10" x14ac:dyDescent="0.25">
      <c r="B45" s="52" t="s">
        <v>125</v>
      </c>
      <c r="C45" s="53"/>
      <c r="D45" s="53"/>
      <c r="E45" s="8">
        <f>22307550/10^7</f>
        <v>2.2307549999999998</v>
      </c>
      <c r="F45" s="54"/>
      <c r="G45" s="54"/>
      <c r="H45" s="8">
        <f t="shared" si="4"/>
        <v>2.2307549999999998</v>
      </c>
      <c r="I45" s="53"/>
      <c r="J45" s="41">
        <v>1</v>
      </c>
    </row>
    <row r="46" spans="2:10" x14ac:dyDescent="0.25">
      <c r="B46" s="52" t="s">
        <v>126</v>
      </c>
      <c r="C46" s="53"/>
      <c r="D46" s="53"/>
      <c r="E46" s="8">
        <f>9673668/10^7</f>
        <v>0.96736679999999997</v>
      </c>
      <c r="F46" s="54"/>
      <c r="G46" s="54"/>
      <c r="H46" s="8">
        <f t="shared" si="4"/>
        <v>0.96736679999999997</v>
      </c>
      <c r="I46" s="53"/>
      <c r="J46" s="41">
        <v>1</v>
      </c>
    </row>
    <row r="47" spans="2:10" x14ac:dyDescent="0.25">
      <c r="B47" s="52" t="s">
        <v>127</v>
      </c>
      <c r="C47" s="53"/>
      <c r="D47" s="53"/>
      <c r="E47" s="8">
        <f>215152/10^7</f>
        <v>2.1515200000000002E-2</v>
      </c>
      <c r="F47" s="54"/>
      <c r="G47" s="54"/>
      <c r="H47" s="8">
        <f t="shared" si="4"/>
        <v>2.1515200000000002E-2</v>
      </c>
      <c r="I47" s="53"/>
      <c r="J47" s="41">
        <v>1</v>
      </c>
    </row>
    <row r="48" spans="2:10" x14ac:dyDescent="0.25">
      <c r="B48" s="52" t="s">
        <v>128</v>
      </c>
      <c r="C48" s="53"/>
      <c r="D48" s="53"/>
      <c r="E48" s="8">
        <f>390858/10^7</f>
        <v>3.9085799999999997E-2</v>
      </c>
      <c r="F48" s="54"/>
      <c r="G48" s="54"/>
      <c r="H48" s="8">
        <f t="shared" si="4"/>
        <v>3.9085799999999997E-2</v>
      </c>
      <c r="I48" s="53"/>
      <c r="J48" s="41">
        <v>1</v>
      </c>
    </row>
    <row r="49" spans="2:10" x14ac:dyDescent="0.25">
      <c r="B49" s="52" t="s">
        <v>129</v>
      </c>
      <c r="C49" s="53"/>
      <c r="D49" s="53"/>
      <c r="E49" s="8">
        <f>1978289/10^7</f>
        <v>0.1978289</v>
      </c>
      <c r="F49" s="54"/>
      <c r="G49" s="54"/>
      <c r="H49" s="8">
        <f t="shared" si="4"/>
        <v>0.1978289</v>
      </c>
      <c r="I49" s="53"/>
      <c r="J49" s="41">
        <v>1</v>
      </c>
    </row>
    <row r="50" spans="2:10" x14ac:dyDescent="0.25">
      <c r="B50" s="52" t="s">
        <v>130</v>
      </c>
      <c r="C50" s="53"/>
      <c r="D50" s="53"/>
      <c r="E50" s="8">
        <f>1755652/10^7</f>
        <v>0.1755652</v>
      </c>
      <c r="F50" s="54"/>
      <c r="G50" s="54"/>
      <c r="H50" s="8">
        <f t="shared" si="4"/>
        <v>0.1755652</v>
      </c>
      <c r="I50" s="53"/>
      <c r="J50" s="41">
        <v>1</v>
      </c>
    </row>
    <row r="51" spans="2:10" x14ac:dyDescent="0.25">
      <c r="B51" s="52" t="s">
        <v>131</v>
      </c>
      <c r="E51" s="8">
        <f>11374920/10^7</f>
        <v>1.1374919999999999</v>
      </c>
      <c r="H51" s="8">
        <f t="shared" si="4"/>
        <v>1.1374919999999999</v>
      </c>
      <c r="J51" s="41">
        <v>1</v>
      </c>
    </row>
    <row r="52" spans="2:10" x14ac:dyDescent="0.25">
      <c r="B52" s="52" t="s">
        <v>132</v>
      </c>
      <c r="E52" s="8">
        <f>21425392/10^7</f>
        <v>2.1425391999999999</v>
      </c>
      <c r="H52" s="8">
        <f t="shared" si="4"/>
        <v>2.1425391999999999</v>
      </c>
      <c r="J52" s="41">
        <v>1</v>
      </c>
    </row>
    <row r="53" spans="2:10" x14ac:dyDescent="0.25">
      <c r="B53" s="52" t="s">
        <v>133</v>
      </c>
      <c r="E53" s="8">
        <f>23424426/10^7</f>
        <v>2.3424426</v>
      </c>
      <c r="H53" s="8">
        <f t="shared" si="4"/>
        <v>2.3424426</v>
      </c>
      <c r="J53" s="41">
        <v>1</v>
      </c>
    </row>
    <row r="54" spans="2:10" x14ac:dyDescent="0.25">
      <c r="B54" s="52" t="s">
        <v>134</v>
      </c>
      <c r="E54" s="8">
        <f>1455001085/10^7</f>
        <v>145.50010850000001</v>
      </c>
      <c r="H54" s="8">
        <f t="shared" si="4"/>
        <v>145.50010850000001</v>
      </c>
      <c r="J54" s="41">
        <v>1</v>
      </c>
    </row>
    <row r="55" spans="2:10" x14ac:dyDescent="0.25">
      <c r="B55" s="52" t="s">
        <v>135</v>
      </c>
      <c r="E55" s="8">
        <f>26746171/10^7-0.78/10^7</f>
        <v>2.6746170220000001</v>
      </c>
      <c r="H55" s="8">
        <f t="shared" si="4"/>
        <v>2.6746170220000001</v>
      </c>
      <c r="J55" s="41">
        <v>1</v>
      </c>
    </row>
    <row r="56" spans="2:10" x14ac:dyDescent="0.25">
      <c r="B56" s="52" t="s">
        <v>136</v>
      </c>
      <c r="E56" s="8">
        <f>69915.08/10^7</f>
        <v>6.9915080000000004E-3</v>
      </c>
      <c r="H56" s="8">
        <f t="shared" si="4"/>
        <v>6.9915080000000004E-3</v>
      </c>
      <c r="J56" s="41">
        <v>1</v>
      </c>
    </row>
    <row r="57" spans="2:10" x14ac:dyDescent="0.25">
      <c r="B57" s="52"/>
      <c r="E57" s="8"/>
      <c r="H57" s="8"/>
      <c r="J57" s="41"/>
    </row>
    <row r="58" spans="2:10" x14ac:dyDescent="0.25">
      <c r="B58" s="49" t="s">
        <v>112</v>
      </c>
      <c r="C58" s="49"/>
      <c r="D58" s="49"/>
      <c r="E58" s="16">
        <f>SUM(E43:E56)</f>
        <v>183.41838353000003</v>
      </c>
      <c r="F58" s="16"/>
      <c r="G58" s="16"/>
      <c r="H58" s="16">
        <f>SUM(H43:H56)</f>
        <v>183.41838353000003</v>
      </c>
      <c r="I58" s="49"/>
      <c r="J58" s="48"/>
    </row>
    <row r="59" spans="2:10" x14ac:dyDescent="0.25">
      <c r="B59" s="52"/>
      <c r="E59" s="8"/>
      <c r="H59" s="8"/>
      <c r="J59" s="41"/>
    </row>
    <row r="60" spans="2:10" ht="20.25" customHeight="1" x14ac:dyDescent="0.25">
      <c r="B60" s="38" t="s">
        <v>98</v>
      </c>
      <c r="C60" s="38"/>
      <c r="D60" s="38"/>
      <c r="E60" s="39">
        <f>E18+E26+E36+E58</f>
        <v>375.13575199700006</v>
      </c>
      <c r="F60" s="39"/>
      <c r="G60" s="39"/>
      <c r="H60" s="39">
        <f>H18+H26+H36+H58</f>
        <v>370.14744454700008</v>
      </c>
      <c r="I60" s="40"/>
      <c r="J60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2:J127"/>
  <sheetViews>
    <sheetView showGridLines="0" workbookViewId="0">
      <selection activeCell="B139" sqref="B139"/>
    </sheetView>
  </sheetViews>
  <sheetFormatPr defaultRowHeight="15" x14ac:dyDescent="0.25"/>
  <cols>
    <col min="1" max="1" width="3.7109375" customWidth="1"/>
    <col min="2" max="2" width="40.5703125" customWidth="1"/>
    <col min="3" max="3" width="4.5703125" customWidth="1"/>
    <col min="4" max="4" width="4.140625" customWidth="1"/>
    <col min="5" max="5" width="37" customWidth="1"/>
    <col min="6" max="6" width="5.7109375" customWidth="1"/>
    <col min="7" max="7" width="3.85546875" customWidth="1"/>
    <col min="8" max="8" width="25" customWidth="1"/>
    <col min="10" max="10" width="12" customWidth="1"/>
  </cols>
  <sheetData>
    <row r="2" spans="2:10" ht="17.25" customHeight="1" x14ac:dyDescent="0.25">
      <c r="B2" s="32" t="s">
        <v>10</v>
      </c>
      <c r="C2" s="31"/>
      <c r="D2" s="31"/>
      <c r="E2" s="31"/>
      <c r="F2" s="31"/>
      <c r="G2" s="31"/>
      <c r="H2" s="31"/>
      <c r="I2" s="31"/>
      <c r="J2" s="31"/>
    </row>
    <row r="3" spans="2:10" ht="10.5" customHeight="1" x14ac:dyDescent="0.25"/>
    <row r="4" spans="2:10" ht="18" customHeight="1" x14ac:dyDescent="0.25">
      <c r="B4" s="3" t="s">
        <v>138</v>
      </c>
      <c r="C4" s="2"/>
      <c r="D4" s="2"/>
      <c r="E4" s="2"/>
      <c r="F4" s="2"/>
      <c r="G4" s="2"/>
      <c r="H4" s="2"/>
      <c r="I4" s="2"/>
      <c r="J4" s="2"/>
    </row>
    <row r="5" spans="2:10" ht="9.75" customHeight="1" x14ac:dyDescent="0.25"/>
    <row r="6" spans="2:10" ht="18" customHeight="1" x14ac:dyDescent="0.25">
      <c r="B6" s="3" t="s">
        <v>43</v>
      </c>
      <c r="C6" s="3"/>
      <c r="D6" s="3"/>
      <c r="E6" s="20" t="s">
        <v>102</v>
      </c>
      <c r="F6" s="3"/>
      <c r="G6" s="3"/>
      <c r="H6" s="20" t="s">
        <v>1</v>
      </c>
      <c r="I6" s="3"/>
      <c r="J6" s="19" t="s">
        <v>97</v>
      </c>
    </row>
    <row r="7" spans="2:10" ht="10.5" customHeight="1" x14ac:dyDescent="0.25">
      <c r="E7" s="34"/>
    </row>
    <row r="8" spans="2:10" ht="16.5" customHeight="1" x14ac:dyDescent="0.25">
      <c r="B8" s="4" t="s">
        <v>153</v>
      </c>
      <c r="E8" s="34"/>
    </row>
    <row r="9" spans="2:10" ht="18.75" customHeight="1" x14ac:dyDescent="0.25">
      <c r="B9" s="37" t="s">
        <v>142</v>
      </c>
      <c r="E9" s="34"/>
    </row>
    <row r="10" spans="2:10" ht="18.75" customHeight="1" x14ac:dyDescent="0.25">
      <c r="B10" s="57" t="s">
        <v>139</v>
      </c>
      <c r="E10" s="34"/>
    </row>
    <row r="11" spans="2:10" ht="18.75" customHeight="1" x14ac:dyDescent="0.25">
      <c r="B11" s="58" t="s">
        <v>140</v>
      </c>
      <c r="E11" s="8">
        <f>400980000/10^7</f>
        <v>40.097999999999999</v>
      </c>
      <c r="H11" s="8">
        <f>E11*J11</f>
        <v>40.097999999999999</v>
      </c>
      <c r="J11" s="41">
        <v>1</v>
      </c>
    </row>
    <row r="12" spans="2:10" ht="18.75" customHeight="1" x14ac:dyDescent="0.25">
      <c r="B12" s="37"/>
      <c r="E12" s="8"/>
      <c r="H12" s="8"/>
      <c r="J12" s="41"/>
    </row>
    <row r="13" spans="2:10" ht="18.75" customHeight="1" x14ac:dyDescent="0.25">
      <c r="B13" s="56" t="s">
        <v>141</v>
      </c>
      <c r="E13" s="8">
        <f>318059340/10^7</f>
        <v>31.805934000000001</v>
      </c>
      <c r="H13" s="8">
        <f t="shared" ref="H13" si="0">E13*J13</f>
        <v>31.805934000000001</v>
      </c>
      <c r="J13" s="41">
        <v>1</v>
      </c>
    </row>
    <row r="14" spans="2:10" x14ac:dyDescent="0.25">
      <c r="B14" s="11"/>
      <c r="E14" s="8"/>
      <c r="H14" s="8"/>
      <c r="J14" s="41"/>
    </row>
    <row r="15" spans="2:10" ht="17.25" customHeight="1" x14ac:dyDescent="0.25">
      <c r="B15" s="49" t="s">
        <v>112</v>
      </c>
      <c r="C15" s="49"/>
      <c r="D15" s="49"/>
      <c r="E15" s="16">
        <f>SUM(E13)</f>
        <v>31.805934000000001</v>
      </c>
      <c r="F15" s="16"/>
      <c r="G15" s="16"/>
      <c r="H15" s="16">
        <f>SUM(H13)</f>
        <v>31.805934000000001</v>
      </c>
      <c r="I15" s="49"/>
      <c r="J15" s="48"/>
    </row>
    <row r="16" spans="2:10" x14ac:dyDescent="0.25">
      <c r="B16" s="11"/>
      <c r="E16" s="8"/>
      <c r="H16" s="8"/>
      <c r="J16" s="41"/>
    </row>
    <row r="17" spans="2:10" x14ac:dyDescent="0.25">
      <c r="B17" s="14" t="s">
        <v>143</v>
      </c>
      <c r="E17" s="8"/>
      <c r="H17" s="8"/>
      <c r="J17" s="41"/>
    </row>
    <row r="18" spans="2:10" x14ac:dyDescent="0.25">
      <c r="B18" s="50"/>
      <c r="E18" s="8"/>
      <c r="H18" s="8"/>
      <c r="J18" s="41"/>
    </row>
    <row r="19" spans="2:10" x14ac:dyDescent="0.25">
      <c r="B19" s="56" t="s">
        <v>144</v>
      </c>
      <c r="E19" s="8"/>
      <c r="H19" s="8"/>
      <c r="J19" s="41"/>
    </row>
    <row r="20" spans="2:10" x14ac:dyDescent="0.25">
      <c r="B20" s="56" t="s">
        <v>145</v>
      </c>
      <c r="E20" s="8">
        <f>-1330625655.27/10^7</f>
        <v>-133.062565527</v>
      </c>
      <c r="H20" s="8">
        <f t="shared" ref="H20:H27" si="1">E20*J20</f>
        <v>-133.062565527</v>
      </c>
      <c r="J20" s="41">
        <v>1</v>
      </c>
    </row>
    <row r="21" spans="2:10" x14ac:dyDescent="0.25">
      <c r="B21" s="52" t="s">
        <v>146</v>
      </c>
      <c r="E21" s="8">
        <f>-2151970011.61/10^7</f>
        <v>-215.197001161</v>
      </c>
      <c r="H21" s="8">
        <f t="shared" si="1"/>
        <v>-215.197001161</v>
      </c>
      <c r="J21" s="41">
        <v>1</v>
      </c>
    </row>
    <row r="22" spans="2:10" x14ac:dyDescent="0.25">
      <c r="B22" s="56" t="s">
        <v>147</v>
      </c>
      <c r="E22" s="8">
        <f>134411350.6/10^7-18596250/10^7</f>
        <v>11.581510059999999</v>
      </c>
      <c r="H22" s="8">
        <f t="shared" si="1"/>
        <v>11.581510059999999</v>
      </c>
      <c r="J22" s="41">
        <v>1</v>
      </c>
    </row>
    <row r="23" spans="2:10" x14ac:dyDescent="0.25">
      <c r="B23" s="59"/>
      <c r="C23" s="46"/>
      <c r="D23" s="46"/>
      <c r="E23" s="46"/>
      <c r="F23" s="46"/>
      <c r="G23" s="46"/>
      <c r="H23" s="8"/>
      <c r="I23" s="46"/>
      <c r="J23" s="41"/>
    </row>
    <row r="24" spans="2:10" x14ac:dyDescent="0.25">
      <c r="B24" s="56" t="s">
        <v>148</v>
      </c>
      <c r="E24" s="8"/>
      <c r="H24" s="8"/>
      <c r="J24" s="41"/>
    </row>
    <row r="25" spans="2:10" x14ac:dyDescent="0.25">
      <c r="B25" s="52" t="s">
        <v>149</v>
      </c>
      <c r="E25" s="8">
        <f>2145761600/10^7</f>
        <v>214.57615999999999</v>
      </c>
      <c r="H25" s="8">
        <f t="shared" si="1"/>
        <v>214.57615999999999</v>
      </c>
      <c r="J25" s="41">
        <v>1</v>
      </c>
    </row>
    <row r="26" spans="2:10" x14ac:dyDescent="0.25">
      <c r="B26" s="52" t="s">
        <v>150</v>
      </c>
      <c r="E26" s="8">
        <v>0</v>
      </c>
      <c r="H26" s="8">
        <f t="shared" si="1"/>
        <v>0</v>
      </c>
      <c r="J26" s="41">
        <v>1</v>
      </c>
    </row>
    <row r="27" spans="2:10" x14ac:dyDescent="0.25">
      <c r="B27" s="52" t="s">
        <v>151</v>
      </c>
      <c r="E27" s="8">
        <f>SUM(E25:E26)</f>
        <v>214.57615999999999</v>
      </c>
      <c r="H27" s="8">
        <f t="shared" si="1"/>
        <v>214.57615999999999</v>
      </c>
      <c r="J27" s="41">
        <v>1</v>
      </c>
    </row>
    <row r="28" spans="2:10" x14ac:dyDescent="0.25">
      <c r="B28" s="11"/>
      <c r="E28" s="8"/>
      <c r="H28" s="8"/>
      <c r="J28" s="41"/>
    </row>
    <row r="29" spans="2:10" x14ac:dyDescent="0.25">
      <c r="B29" s="49" t="s">
        <v>112</v>
      </c>
      <c r="C29" s="49"/>
      <c r="D29" s="49"/>
      <c r="E29" s="16">
        <f>E20+E21+E22+E27</f>
        <v>-122.10189662800005</v>
      </c>
      <c r="F29" s="16"/>
      <c r="G29" s="16"/>
      <c r="H29" s="16">
        <f>H20+H21+H22+H27</f>
        <v>-122.10189662800005</v>
      </c>
      <c r="I29" s="49"/>
      <c r="J29" s="48"/>
    </row>
    <row r="30" spans="2:10" x14ac:dyDescent="0.25">
      <c r="B30" s="53"/>
      <c r="C30" s="53"/>
      <c r="D30" s="53"/>
      <c r="E30" s="54"/>
      <c r="F30" s="54"/>
      <c r="G30" s="54"/>
      <c r="H30" s="54"/>
      <c r="I30" s="53"/>
      <c r="J30" s="55"/>
    </row>
    <row r="31" spans="2:10" x14ac:dyDescent="0.25">
      <c r="B31" s="49" t="s">
        <v>152</v>
      </c>
      <c r="C31" s="49"/>
      <c r="D31" s="49"/>
      <c r="E31" s="16">
        <f>E15+E29</f>
        <v>-90.295962628000041</v>
      </c>
      <c r="F31" s="16"/>
      <c r="G31" s="16"/>
      <c r="H31" s="16">
        <f>H15+H29</f>
        <v>-90.295962628000041</v>
      </c>
      <c r="I31" s="49"/>
      <c r="J31" s="48"/>
    </row>
    <row r="32" spans="2:10" x14ac:dyDescent="0.25">
      <c r="B32" s="53"/>
      <c r="C32" s="53"/>
      <c r="D32" s="53"/>
      <c r="E32" s="54"/>
      <c r="F32" s="54"/>
      <c r="G32" s="54"/>
      <c r="H32" s="54"/>
      <c r="I32" s="53"/>
      <c r="J32" s="55"/>
    </row>
    <row r="33" spans="2:10" x14ac:dyDescent="0.25">
      <c r="B33" s="4" t="s">
        <v>154</v>
      </c>
      <c r="C33" s="53"/>
      <c r="D33" s="53"/>
      <c r="E33" s="54"/>
      <c r="F33" s="54"/>
      <c r="G33" s="54"/>
      <c r="H33" s="54"/>
      <c r="I33" s="53"/>
      <c r="J33" s="55"/>
    </row>
    <row r="34" spans="2:10" x14ac:dyDescent="0.25">
      <c r="B34" s="29" t="s">
        <v>27</v>
      </c>
      <c r="C34" s="53"/>
      <c r="D34" s="53"/>
      <c r="E34" s="54"/>
      <c r="F34" s="54"/>
      <c r="G34" s="54"/>
      <c r="H34" s="54"/>
      <c r="I34" s="53"/>
      <c r="J34" s="55"/>
    </row>
    <row r="35" spans="2:10" x14ac:dyDescent="0.25">
      <c r="B35" s="62" t="s">
        <v>155</v>
      </c>
      <c r="C35" s="53"/>
      <c r="D35" s="53"/>
      <c r="E35" s="54"/>
      <c r="F35" s="54"/>
      <c r="G35" s="54"/>
      <c r="H35" s="54"/>
      <c r="I35" s="53"/>
      <c r="J35" s="55"/>
    </row>
    <row r="36" spans="2:10" x14ac:dyDescent="0.25">
      <c r="B36" s="62" t="s">
        <v>156</v>
      </c>
      <c r="C36" s="53"/>
      <c r="D36" s="53"/>
      <c r="E36" s="54"/>
      <c r="F36" s="54"/>
      <c r="G36" s="54"/>
      <c r="H36" s="54"/>
      <c r="I36" s="53"/>
      <c r="J36" s="55"/>
    </row>
    <row r="37" spans="2:10" x14ac:dyDescent="0.25">
      <c r="B37" s="62" t="s">
        <v>157</v>
      </c>
      <c r="C37" s="53"/>
      <c r="D37" s="53"/>
      <c r="E37" s="8">
        <f>173493482.77/10^7</f>
        <v>17.349348277000001</v>
      </c>
      <c r="F37" s="54"/>
      <c r="G37" s="54"/>
      <c r="H37" s="8">
        <f t="shared" ref="H37:H41" si="2">E37*J37</f>
        <v>17.349348277000001</v>
      </c>
      <c r="I37" s="53"/>
      <c r="J37" s="41">
        <v>1</v>
      </c>
    </row>
    <row r="38" spans="2:10" x14ac:dyDescent="0.25">
      <c r="B38" s="64" t="s">
        <v>158</v>
      </c>
      <c r="C38" s="53"/>
      <c r="D38" s="53"/>
      <c r="E38" s="54"/>
      <c r="F38" s="54"/>
      <c r="G38" s="54"/>
      <c r="H38" s="8"/>
      <c r="I38" s="53"/>
      <c r="J38" s="41"/>
    </row>
    <row r="39" spans="2:10" x14ac:dyDescent="0.25">
      <c r="B39" s="64" t="s">
        <v>159</v>
      </c>
      <c r="C39" s="53"/>
      <c r="D39" s="53"/>
      <c r="E39" s="54"/>
      <c r="F39" s="54"/>
      <c r="G39" s="54"/>
      <c r="H39" s="8"/>
      <c r="I39" s="53"/>
      <c r="J39" s="41"/>
    </row>
    <row r="40" spans="2:10" x14ac:dyDescent="0.25">
      <c r="B40" s="64" t="s">
        <v>160</v>
      </c>
      <c r="C40" s="53"/>
      <c r="D40" s="53"/>
      <c r="E40" s="54"/>
      <c r="F40" s="54"/>
      <c r="G40" s="54"/>
      <c r="H40" s="8"/>
      <c r="I40" s="53"/>
      <c r="J40" s="41"/>
    </row>
    <row r="41" spans="2:10" x14ac:dyDescent="0.25">
      <c r="B41" s="62" t="s">
        <v>161</v>
      </c>
      <c r="C41" s="53"/>
      <c r="D41" s="53"/>
      <c r="E41" s="8">
        <f>85738898.08/10^7</f>
        <v>8.5738898080000006</v>
      </c>
      <c r="F41" s="54"/>
      <c r="G41" s="54"/>
      <c r="H41" s="8">
        <f t="shared" si="2"/>
        <v>8.5738898080000006</v>
      </c>
      <c r="I41" s="53"/>
      <c r="J41" s="41">
        <v>1</v>
      </c>
    </row>
    <row r="42" spans="2:10" x14ac:dyDescent="0.25">
      <c r="B42" s="64" t="s">
        <v>158</v>
      </c>
      <c r="C42" s="53"/>
      <c r="D42" s="53"/>
      <c r="E42" s="54"/>
      <c r="F42" s="54"/>
      <c r="G42" s="54"/>
      <c r="H42" s="8"/>
      <c r="I42" s="53"/>
      <c r="J42" s="41"/>
    </row>
    <row r="43" spans="2:10" x14ac:dyDescent="0.25">
      <c r="B43" s="64" t="s">
        <v>162</v>
      </c>
      <c r="C43" s="53"/>
      <c r="D43" s="53"/>
      <c r="E43" s="54"/>
      <c r="F43" s="54"/>
      <c r="G43" s="54"/>
      <c r="H43" s="54"/>
      <c r="I43" s="53"/>
      <c r="J43" s="55"/>
    </row>
    <row r="44" spans="2:10" x14ac:dyDescent="0.25">
      <c r="B44" s="64" t="s">
        <v>163</v>
      </c>
      <c r="C44" s="53"/>
      <c r="D44" s="53"/>
      <c r="E44" s="54"/>
      <c r="F44" s="54"/>
      <c r="G44" s="54"/>
      <c r="H44" s="54"/>
      <c r="I44" s="53"/>
      <c r="J44" s="55"/>
    </row>
    <row r="45" spans="2:10" x14ac:dyDescent="0.25">
      <c r="B45" s="50"/>
      <c r="C45" s="53"/>
      <c r="D45" s="53"/>
      <c r="E45" s="54"/>
      <c r="F45" s="54"/>
      <c r="G45" s="54"/>
      <c r="H45" s="54"/>
      <c r="I45" s="53"/>
      <c r="J45" s="55"/>
    </row>
    <row r="46" spans="2:10" x14ac:dyDescent="0.25">
      <c r="B46" s="49" t="s">
        <v>112</v>
      </c>
      <c r="C46" s="49"/>
      <c r="D46" s="49"/>
      <c r="E46" s="16">
        <f>E37+E41</f>
        <v>25.923238085000001</v>
      </c>
      <c r="F46" s="16"/>
      <c r="G46" s="16"/>
      <c r="H46" s="16">
        <f>H37+H41</f>
        <v>25.923238085000001</v>
      </c>
      <c r="I46" s="49"/>
      <c r="J46" s="48"/>
    </row>
    <row r="47" spans="2:10" x14ac:dyDescent="0.25">
      <c r="B47" s="50"/>
      <c r="C47" s="53"/>
      <c r="D47" s="53"/>
      <c r="E47" s="54"/>
      <c r="F47" s="54"/>
      <c r="G47" s="54"/>
      <c r="H47" s="54"/>
      <c r="I47" s="53"/>
      <c r="J47" s="55"/>
    </row>
    <row r="48" spans="2:10" x14ac:dyDescent="0.25">
      <c r="B48" s="29" t="s">
        <v>183</v>
      </c>
      <c r="C48" s="53"/>
      <c r="D48" s="53"/>
      <c r="E48" s="54"/>
      <c r="F48" s="54"/>
      <c r="G48" s="54"/>
      <c r="H48" s="54"/>
      <c r="I48" s="53"/>
      <c r="J48" s="55"/>
    </row>
    <row r="49" spans="2:10" x14ac:dyDescent="0.25">
      <c r="B49" s="58" t="s">
        <v>164</v>
      </c>
      <c r="C49" s="53"/>
      <c r="D49" s="53"/>
      <c r="E49" s="8">
        <v>0</v>
      </c>
      <c r="F49" s="54"/>
      <c r="G49" s="54"/>
      <c r="H49" s="8">
        <f t="shared" ref="H49" si="3">E49*J49</f>
        <v>0</v>
      </c>
      <c r="I49" s="53"/>
      <c r="J49" s="41">
        <v>1</v>
      </c>
    </row>
    <row r="50" spans="2:10" x14ac:dyDescent="0.25">
      <c r="B50" s="50"/>
      <c r="C50" s="53"/>
      <c r="D50" s="53"/>
      <c r="E50" s="54"/>
      <c r="F50" s="54"/>
      <c r="G50" s="54"/>
      <c r="H50" s="54"/>
      <c r="I50" s="53"/>
      <c r="J50" s="55"/>
    </row>
    <row r="51" spans="2:10" x14ac:dyDescent="0.25">
      <c r="B51" s="49" t="s">
        <v>112</v>
      </c>
      <c r="C51" s="49"/>
      <c r="D51" s="49"/>
      <c r="E51" s="16">
        <f>SUM(E49)</f>
        <v>0</v>
      </c>
      <c r="F51" s="16"/>
      <c r="G51" s="16"/>
      <c r="H51" s="16">
        <f>SUM(H49)</f>
        <v>0</v>
      </c>
      <c r="I51" s="49"/>
      <c r="J51" s="48"/>
    </row>
    <row r="52" spans="2:10" x14ac:dyDescent="0.25">
      <c r="B52" s="50"/>
      <c r="C52" s="53"/>
      <c r="D52" s="53"/>
      <c r="E52" s="54"/>
      <c r="F52" s="54"/>
      <c r="G52" s="54"/>
      <c r="H52" s="54"/>
      <c r="I52" s="53"/>
      <c r="J52" s="55"/>
    </row>
    <row r="53" spans="2:10" x14ac:dyDescent="0.25">
      <c r="B53" s="29" t="s">
        <v>184</v>
      </c>
      <c r="C53" s="53"/>
      <c r="D53" s="53"/>
      <c r="E53" s="54"/>
      <c r="F53" s="54"/>
      <c r="G53" s="54"/>
      <c r="H53" s="54"/>
      <c r="I53" s="53"/>
      <c r="J53" s="55"/>
    </row>
    <row r="54" spans="2:10" x14ac:dyDescent="0.25">
      <c r="B54" s="60" t="s">
        <v>165</v>
      </c>
      <c r="C54" s="53"/>
      <c r="D54" s="53"/>
      <c r="E54" s="54"/>
      <c r="F54" s="54"/>
      <c r="G54" s="54"/>
      <c r="H54" s="54"/>
      <c r="I54" s="53"/>
      <c r="J54" s="55"/>
    </row>
    <row r="55" spans="2:10" x14ac:dyDescent="0.25">
      <c r="B55" s="61" t="s">
        <v>156</v>
      </c>
      <c r="C55" s="53"/>
      <c r="D55" s="53"/>
      <c r="E55" s="54"/>
      <c r="F55" s="54"/>
      <c r="G55" s="54"/>
      <c r="H55" s="54"/>
      <c r="I55" s="53"/>
      <c r="J55" s="55"/>
    </row>
    <row r="56" spans="2:10" x14ac:dyDescent="0.25">
      <c r="B56" s="63" t="s">
        <v>166</v>
      </c>
      <c r="C56" s="53"/>
      <c r="D56" s="53"/>
      <c r="E56" s="8">
        <f>10189309/10^7</f>
        <v>1.0189309</v>
      </c>
      <c r="F56" s="54"/>
      <c r="G56" s="54"/>
      <c r="H56" s="8">
        <f t="shared" ref="H56:H72" si="4">E56*J56</f>
        <v>1.0189309</v>
      </c>
      <c r="I56" s="53"/>
      <c r="J56" s="41">
        <v>1</v>
      </c>
    </row>
    <row r="57" spans="2:10" x14ac:dyDescent="0.25">
      <c r="B57" s="63" t="s">
        <v>167</v>
      </c>
      <c r="C57" s="53"/>
      <c r="D57" s="53"/>
      <c r="E57" s="8">
        <f>20367304/10^7</f>
        <v>2.0367304000000002</v>
      </c>
      <c r="F57" s="54"/>
      <c r="G57" s="54"/>
      <c r="H57" s="8">
        <f t="shared" si="4"/>
        <v>2.0367304000000002</v>
      </c>
      <c r="I57" s="53"/>
      <c r="J57" s="41">
        <v>1</v>
      </c>
    </row>
    <row r="58" spans="2:10" x14ac:dyDescent="0.25">
      <c r="B58" s="63" t="s">
        <v>168</v>
      </c>
      <c r="C58" s="53"/>
      <c r="D58" s="53"/>
      <c r="E58" s="8">
        <f>18562844.31/10^7</f>
        <v>1.856284431</v>
      </c>
      <c r="F58" s="54"/>
      <c r="G58" s="54"/>
      <c r="H58" s="8">
        <f t="shared" si="4"/>
        <v>1.856284431</v>
      </c>
      <c r="I58" s="53"/>
      <c r="J58" s="41">
        <v>1</v>
      </c>
    </row>
    <row r="59" spans="2:10" x14ac:dyDescent="0.25">
      <c r="B59" s="63" t="s">
        <v>169</v>
      </c>
      <c r="C59" s="53"/>
      <c r="D59" s="53"/>
      <c r="E59" s="8">
        <f>20355809/10^7</f>
        <v>2.0355808999999998</v>
      </c>
      <c r="F59" s="54"/>
      <c r="G59" s="54"/>
      <c r="H59" s="8">
        <f t="shared" si="4"/>
        <v>2.0355808999999998</v>
      </c>
      <c r="I59" s="53"/>
      <c r="J59" s="41">
        <v>1</v>
      </c>
    </row>
    <row r="60" spans="2:10" x14ac:dyDescent="0.25">
      <c r="B60" s="63" t="s">
        <v>170</v>
      </c>
      <c r="C60" s="53"/>
      <c r="D60" s="53"/>
      <c r="E60" s="8">
        <f>30369265/10^7</f>
        <v>3.0369264999999999</v>
      </c>
      <c r="F60" s="54"/>
      <c r="G60" s="54"/>
      <c r="H60" s="8">
        <f t="shared" si="4"/>
        <v>3.0369264999999999</v>
      </c>
      <c r="I60" s="53"/>
      <c r="J60" s="41">
        <v>1</v>
      </c>
    </row>
    <row r="61" spans="2:10" x14ac:dyDescent="0.25">
      <c r="B61" s="63" t="s">
        <v>171</v>
      </c>
      <c r="C61" s="53"/>
      <c r="D61" s="53"/>
      <c r="E61" s="8">
        <f>8910850/10^7</f>
        <v>0.89108500000000002</v>
      </c>
      <c r="F61" s="54"/>
      <c r="G61" s="54"/>
      <c r="H61" s="8">
        <f t="shared" si="4"/>
        <v>0.89108500000000002</v>
      </c>
      <c r="I61" s="53"/>
      <c r="J61" s="41">
        <v>1</v>
      </c>
    </row>
    <row r="62" spans="2:10" x14ac:dyDescent="0.25">
      <c r="B62" s="63" t="s">
        <v>172</v>
      </c>
      <c r="C62" s="53"/>
      <c r="D62" s="53"/>
      <c r="E62" s="8">
        <f>550000/10^7</f>
        <v>5.5E-2</v>
      </c>
      <c r="F62" s="54"/>
      <c r="G62" s="54"/>
      <c r="H62" s="8">
        <f t="shared" si="4"/>
        <v>5.5E-2</v>
      </c>
      <c r="I62" s="53"/>
      <c r="J62" s="41">
        <v>1</v>
      </c>
    </row>
    <row r="63" spans="2:10" x14ac:dyDescent="0.25">
      <c r="B63" s="63" t="s">
        <v>173</v>
      </c>
      <c r="C63" s="53"/>
      <c r="D63" s="53"/>
      <c r="E63" s="8">
        <f>29394352/10^7</f>
        <v>2.9394352000000001</v>
      </c>
      <c r="F63" s="54"/>
      <c r="G63" s="54"/>
      <c r="H63" s="8">
        <f t="shared" si="4"/>
        <v>2.9394352000000001</v>
      </c>
      <c r="I63" s="53"/>
      <c r="J63" s="41">
        <v>1</v>
      </c>
    </row>
    <row r="64" spans="2:10" x14ac:dyDescent="0.25">
      <c r="B64" s="63" t="s">
        <v>174</v>
      </c>
      <c r="C64" s="53"/>
      <c r="D64" s="53"/>
      <c r="E64" s="8">
        <f>500000/10^7</f>
        <v>0.05</v>
      </c>
      <c r="F64" s="54"/>
      <c r="G64" s="54"/>
      <c r="H64" s="8">
        <f t="shared" si="4"/>
        <v>0.05</v>
      </c>
      <c r="I64" s="53"/>
      <c r="J64" s="41">
        <v>1</v>
      </c>
    </row>
    <row r="65" spans="2:10" x14ac:dyDescent="0.25">
      <c r="B65" s="63" t="s">
        <v>175</v>
      </c>
      <c r="C65" s="53"/>
      <c r="D65" s="53"/>
      <c r="E65" s="8">
        <f>20362651/10^7</f>
        <v>2.0362651000000001</v>
      </c>
      <c r="F65" s="54"/>
      <c r="G65" s="54"/>
      <c r="H65" s="8">
        <f t="shared" si="4"/>
        <v>2.0362651000000001</v>
      </c>
      <c r="I65" s="53"/>
      <c r="J65" s="41">
        <v>1</v>
      </c>
    </row>
    <row r="66" spans="2:10" x14ac:dyDescent="0.25">
      <c r="B66" s="63" t="s">
        <v>176</v>
      </c>
      <c r="C66" s="53"/>
      <c r="D66" s="53"/>
      <c r="E66" s="8">
        <f>30535993/10^7</f>
        <v>3.0535993000000001</v>
      </c>
      <c r="F66" s="54"/>
      <c r="G66" s="54"/>
      <c r="H66" s="8">
        <f t="shared" si="4"/>
        <v>3.0535993000000001</v>
      </c>
      <c r="I66" s="53"/>
      <c r="J66" s="41">
        <v>1</v>
      </c>
    </row>
    <row r="67" spans="2:10" x14ac:dyDescent="0.25">
      <c r="B67" s="63" t="s">
        <v>177</v>
      </c>
      <c r="C67" s="53"/>
      <c r="D67" s="53"/>
      <c r="E67" s="8">
        <f>20351247/10^7</f>
        <v>2.0351246999999999</v>
      </c>
      <c r="F67" s="54"/>
      <c r="G67" s="54"/>
      <c r="H67" s="8">
        <f t="shared" si="4"/>
        <v>2.0351246999999999</v>
      </c>
      <c r="I67" s="53"/>
      <c r="J67" s="41">
        <v>1</v>
      </c>
    </row>
    <row r="68" spans="2:10" x14ac:dyDescent="0.25">
      <c r="B68" s="63" t="s">
        <v>178</v>
      </c>
      <c r="C68" s="53"/>
      <c r="D68" s="53"/>
      <c r="E68" s="8">
        <f>20280541/10^7</f>
        <v>2.0280540999999999</v>
      </c>
      <c r="F68" s="54"/>
      <c r="G68" s="54"/>
      <c r="H68" s="8">
        <f t="shared" si="4"/>
        <v>2.0280540999999999</v>
      </c>
      <c r="I68" s="53"/>
      <c r="J68" s="41">
        <v>1</v>
      </c>
    </row>
    <row r="69" spans="2:10" x14ac:dyDescent="0.25">
      <c r="B69" s="63" t="s">
        <v>179</v>
      </c>
      <c r="C69" s="53"/>
      <c r="D69" s="53"/>
      <c r="E69" s="8">
        <f>10189309/10^7</f>
        <v>1.0189309</v>
      </c>
      <c r="F69" s="54"/>
      <c r="G69" s="54"/>
      <c r="H69" s="8">
        <f t="shared" si="4"/>
        <v>1.0189309</v>
      </c>
      <c r="I69" s="53"/>
      <c r="J69" s="41">
        <v>1</v>
      </c>
    </row>
    <row r="70" spans="2:10" x14ac:dyDescent="0.25">
      <c r="B70" s="63" t="s">
        <v>180</v>
      </c>
      <c r="C70" s="53"/>
      <c r="D70" s="53"/>
      <c r="E70" s="8">
        <f>30367212/10^7</f>
        <v>3.0367212000000001</v>
      </c>
      <c r="F70" s="54"/>
      <c r="G70" s="54"/>
      <c r="H70" s="8">
        <f t="shared" si="4"/>
        <v>3.0367212000000001</v>
      </c>
      <c r="I70" s="53"/>
      <c r="J70" s="41">
        <v>1</v>
      </c>
    </row>
    <row r="71" spans="2:10" x14ac:dyDescent="0.25">
      <c r="B71" s="63" t="s">
        <v>181</v>
      </c>
      <c r="C71" s="53"/>
      <c r="D71" s="53"/>
      <c r="E71" s="8">
        <f>20369493/10^7</f>
        <v>2.0369492999999999</v>
      </c>
      <c r="F71" s="54"/>
      <c r="G71" s="54"/>
      <c r="H71" s="8">
        <f t="shared" si="4"/>
        <v>2.0369492999999999</v>
      </c>
      <c r="I71" s="53"/>
      <c r="J71" s="41">
        <v>1</v>
      </c>
    </row>
    <row r="72" spans="2:10" x14ac:dyDescent="0.25">
      <c r="B72" s="63" t="s">
        <v>182</v>
      </c>
      <c r="C72" s="53"/>
      <c r="D72" s="53"/>
      <c r="E72" s="8">
        <f>20379415/10^7</f>
        <v>2.0379415000000001</v>
      </c>
      <c r="F72" s="54"/>
      <c r="G72" s="54"/>
      <c r="H72" s="8">
        <f t="shared" si="4"/>
        <v>2.0379415000000001</v>
      </c>
      <c r="I72" s="53"/>
      <c r="J72" s="41">
        <v>1</v>
      </c>
    </row>
    <row r="73" spans="2:10" x14ac:dyDescent="0.25">
      <c r="B73" s="4"/>
      <c r="C73" s="53"/>
      <c r="D73" s="53"/>
      <c r="E73" s="54"/>
      <c r="F73" s="54"/>
      <c r="G73" s="54"/>
      <c r="H73" s="54"/>
      <c r="I73" s="53"/>
      <c r="J73" s="55"/>
    </row>
    <row r="74" spans="2:10" x14ac:dyDescent="0.25">
      <c r="B74" s="49" t="s">
        <v>112</v>
      </c>
      <c r="C74" s="49"/>
      <c r="D74" s="49"/>
      <c r="E74" s="16">
        <f>SUM(E56:E72)</f>
        <v>31.203559430999999</v>
      </c>
      <c r="F74" s="16"/>
      <c r="G74" s="16"/>
      <c r="H74" s="16">
        <f>SUM(H56:H72)</f>
        <v>31.203559430999999</v>
      </c>
      <c r="I74" s="49"/>
      <c r="J74" s="48"/>
    </row>
    <row r="75" spans="2:10" x14ac:dyDescent="0.25">
      <c r="B75" s="4"/>
      <c r="C75" s="53"/>
      <c r="D75" s="53"/>
      <c r="E75" s="54"/>
      <c r="F75" s="54"/>
      <c r="G75" s="54"/>
      <c r="H75" s="54"/>
      <c r="I75" s="53"/>
      <c r="J75" s="55"/>
    </row>
    <row r="76" spans="2:10" x14ac:dyDescent="0.25">
      <c r="B76" s="29" t="s">
        <v>185</v>
      </c>
      <c r="C76" s="53"/>
      <c r="D76" s="53"/>
      <c r="E76" s="54"/>
      <c r="F76" s="54"/>
      <c r="G76" s="54"/>
      <c r="H76" s="54"/>
      <c r="I76" s="53"/>
      <c r="J76" s="55"/>
    </row>
    <row r="77" spans="2:10" x14ac:dyDescent="0.25">
      <c r="B77" s="58" t="s">
        <v>31</v>
      </c>
      <c r="C77" s="53"/>
      <c r="D77" s="53"/>
      <c r="E77" s="8">
        <f>16540888/10^7</f>
        <v>1.6540888</v>
      </c>
      <c r="F77" s="54"/>
      <c r="G77" s="54"/>
      <c r="H77" s="8">
        <f t="shared" ref="H77" si="5">E77*J77</f>
        <v>1.6540888</v>
      </c>
      <c r="I77" s="53"/>
      <c r="J77" s="41">
        <v>1</v>
      </c>
    </row>
    <row r="78" spans="2:10" x14ac:dyDescent="0.25">
      <c r="B78" s="4"/>
      <c r="C78" s="53"/>
      <c r="D78" s="53"/>
      <c r="E78" s="54"/>
      <c r="F78" s="54"/>
      <c r="G78" s="54"/>
      <c r="H78" s="54"/>
      <c r="I78" s="53"/>
    </row>
    <row r="79" spans="2:10" x14ac:dyDescent="0.25">
      <c r="B79" s="49" t="s">
        <v>112</v>
      </c>
      <c r="C79" s="49"/>
      <c r="D79" s="49"/>
      <c r="E79" s="16">
        <f>SUM(E77)</f>
        <v>1.6540888</v>
      </c>
      <c r="F79" s="16"/>
      <c r="G79" s="16"/>
      <c r="H79" s="16">
        <f>SUM(H77)</f>
        <v>1.6540888</v>
      </c>
      <c r="I79" s="49"/>
      <c r="J79" s="48"/>
    </row>
    <row r="80" spans="2:10" x14ac:dyDescent="0.25">
      <c r="B80" s="4"/>
      <c r="C80" s="53"/>
      <c r="D80" s="53"/>
      <c r="E80" s="54"/>
      <c r="F80" s="54"/>
      <c r="G80" s="54"/>
      <c r="H80" s="54"/>
      <c r="I80" s="53"/>
      <c r="J80" s="55"/>
    </row>
    <row r="81" spans="2:10" x14ac:dyDescent="0.25">
      <c r="B81" s="4" t="s">
        <v>186</v>
      </c>
      <c r="C81" s="53"/>
      <c r="D81" s="53"/>
      <c r="E81" s="54"/>
      <c r="F81" s="54"/>
      <c r="G81" s="54"/>
      <c r="H81" s="54"/>
      <c r="I81" s="53"/>
      <c r="J81" s="55"/>
    </row>
    <row r="82" spans="2:10" x14ac:dyDescent="0.25">
      <c r="B82" s="4"/>
      <c r="C82" s="53"/>
      <c r="D82" s="53"/>
      <c r="E82" s="54"/>
      <c r="F82" s="54"/>
      <c r="G82" s="54"/>
      <c r="H82" s="54"/>
      <c r="I82" s="53"/>
      <c r="J82" s="55"/>
    </row>
    <row r="83" spans="2:10" x14ac:dyDescent="0.25">
      <c r="B83" s="29" t="s">
        <v>33</v>
      </c>
      <c r="C83" s="53"/>
      <c r="D83" s="53"/>
      <c r="E83" s="54"/>
      <c r="F83" s="54"/>
      <c r="G83" s="54"/>
      <c r="H83" s="54"/>
      <c r="I83" s="53"/>
      <c r="J83" s="55"/>
    </row>
    <row r="84" spans="2:10" x14ac:dyDescent="0.25">
      <c r="B84" s="61" t="s">
        <v>156</v>
      </c>
      <c r="C84" s="53"/>
      <c r="D84" s="53"/>
      <c r="E84" s="54"/>
      <c r="F84" s="54"/>
      <c r="G84" s="54"/>
      <c r="H84" s="54"/>
      <c r="I84" s="53"/>
      <c r="J84" s="55"/>
    </row>
    <row r="85" spans="2:10" x14ac:dyDescent="0.25">
      <c r="B85" s="62" t="s">
        <v>187</v>
      </c>
      <c r="C85" s="53"/>
      <c r="D85" s="53"/>
      <c r="E85" s="54"/>
      <c r="F85" s="54"/>
      <c r="G85" s="54"/>
      <c r="H85" s="54"/>
      <c r="I85" s="53"/>
      <c r="J85" s="55"/>
    </row>
    <row r="86" spans="2:10" x14ac:dyDescent="0.25">
      <c r="B86" s="63" t="s">
        <v>188</v>
      </c>
      <c r="C86" s="53"/>
      <c r="D86" s="53"/>
      <c r="E86" s="8">
        <f>2363313904.43/10^7</f>
        <v>236.33139044299998</v>
      </c>
      <c r="F86" s="54"/>
      <c r="G86" s="54"/>
      <c r="H86" s="8">
        <f t="shared" ref="H86" si="6">E86*J86</f>
        <v>236.33139044299998</v>
      </c>
      <c r="I86" s="53"/>
      <c r="J86" s="41">
        <v>1</v>
      </c>
    </row>
    <row r="87" spans="2:10" x14ac:dyDescent="0.25">
      <c r="B87" s="63" t="s">
        <v>189</v>
      </c>
      <c r="C87" s="53"/>
      <c r="D87" s="53"/>
      <c r="E87" s="8"/>
      <c r="F87" s="54"/>
      <c r="G87" s="54"/>
      <c r="H87" s="54"/>
      <c r="I87" s="53"/>
      <c r="J87" s="55"/>
    </row>
    <row r="88" spans="2:10" x14ac:dyDescent="0.25">
      <c r="B88" s="63" t="s">
        <v>190</v>
      </c>
      <c r="C88" s="53"/>
      <c r="D88" s="53"/>
      <c r="E88" s="8"/>
      <c r="F88" s="54"/>
      <c r="G88" s="54"/>
      <c r="H88" s="54"/>
      <c r="I88" s="53"/>
      <c r="J88" s="55"/>
    </row>
    <row r="89" spans="2:10" x14ac:dyDescent="0.25">
      <c r="B89" s="63" t="s">
        <v>191</v>
      </c>
      <c r="C89" s="53"/>
      <c r="D89" s="53"/>
      <c r="E89" s="8">
        <f>-11601534.66/10^7</f>
        <v>-1.1601534659999999</v>
      </c>
      <c r="F89" s="54"/>
      <c r="G89" s="54"/>
      <c r="H89" s="8">
        <f t="shared" ref="H89" si="7">E89*J89</f>
        <v>-1.1601534659999999</v>
      </c>
      <c r="I89" s="53"/>
      <c r="J89" s="41">
        <v>1</v>
      </c>
    </row>
    <row r="90" spans="2:10" x14ac:dyDescent="0.25">
      <c r="B90" s="62" t="s">
        <v>187</v>
      </c>
      <c r="C90" s="53"/>
      <c r="D90" s="53"/>
      <c r="E90" s="8"/>
      <c r="F90" s="54"/>
      <c r="G90" s="54"/>
      <c r="H90" s="54"/>
      <c r="I90" s="53"/>
      <c r="J90" s="55"/>
    </row>
    <row r="91" spans="2:10" x14ac:dyDescent="0.25">
      <c r="B91" s="63" t="s">
        <v>192</v>
      </c>
      <c r="C91" s="53"/>
      <c r="D91" s="53"/>
      <c r="E91" s="8">
        <f>964387068/10^7</f>
        <v>96.438706800000006</v>
      </c>
      <c r="F91" s="54"/>
      <c r="G91" s="54"/>
      <c r="H91" s="8">
        <f t="shared" ref="H91" si="8">E91*J91</f>
        <v>96.438706800000006</v>
      </c>
      <c r="I91" s="53"/>
      <c r="J91" s="41">
        <v>1</v>
      </c>
    </row>
    <row r="92" spans="2:10" x14ac:dyDescent="0.25">
      <c r="B92" s="63" t="s">
        <v>193</v>
      </c>
      <c r="C92" s="53"/>
      <c r="D92" s="53"/>
      <c r="E92" s="8"/>
      <c r="F92" s="54"/>
      <c r="G92" s="54"/>
      <c r="H92" s="54"/>
      <c r="I92" s="53"/>
      <c r="J92" s="55"/>
    </row>
    <row r="93" spans="2:10" x14ac:dyDescent="0.25">
      <c r="B93" s="62" t="s">
        <v>194</v>
      </c>
      <c r="C93" s="53"/>
      <c r="D93" s="53"/>
      <c r="E93" s="8"/>
      <c r="F93" s="54"/>
      <c r="G93" s="54"/>
      <c r="I93" s="53"/>
      <c r="J93" s="55"/>
    </row>
    <row r="94" spans="2:10" x14ac:dyDescent="0.25">
      <c r="B94" s="63" t="s">
        <v>188</v>
      </c>
      <c r="C94" s="53"/>
      <c r="D94" s="53"/>
      <c r="E94" s="8">
        <f>834224396.76/10^7</f>
        <v>83.422439675999996</v>
      </c>
      <c r="F94" s="54"/>
      <c r="G94" s="54"/>
      <c r="H94" s="8">
        <f>E94*J94</f>
        <v>83.422439675999996</v>
      </c>
      <c r="I94" s="53"/>
      <c r="J94" s="41">
        <v>1</v>
      </c>
    </row>
    <row r="95" spans="2:10" x14ac:dyDescent="0.25">
      <c r="B95" s="63" t="s">
        <v>195</v>
      </c>
      <c r="E95" s="8"/>
    </row>
    <row r="96" spans="2:10" x14ac:dyDescent="0.25">
      <c r="B96" s="63" t="s">
        <v>196</v>
      </c>
      <c r="E96" s="8"/>
      <c r="H96" s="8"/>
      <c r="J96" s="41"/>
    </row>
    <row r="97" spans="2:10" x14ac:dyDescent="0.25">
      <c r="B97" s="62" t="s">
        <v>161</v>
      </c>
      <c r="E97" s="8"/>
    </row>
    <row r="98" spans="2:10" x14ac:dyDescent="0.25">
      <c r="B98" s="63" t="s">
        <v>188</v>
      </c>
      <c r="E98" s="8">
        <f>673941947.98/10^7</f>
        <v>67.394194798000001</v>
      </c>
      <c r="H98" s="8">
        <f t="shared" ref="H98" si="9">E98*J98</f>
        <v>67.394194798000001</v>
      </c>
      <c r="J98" s="41">
        <v>1</v>
      </c>
    </row>
    <row r="99" spans="2:10" x14ac:dyDescent="0.25">
      <c r="B99" s="63" t="s">
        <v>197</v>
      </c>
    </row>
    <row r="100" spans="2:10" x14ac:dyDescent="0.25">
      <c r="B100" s="63" t="s">
        <v>198</v>
      </c>
    </row>
    <row r="102" spans="2:10" x14ac:dyDescent="0.25">
      <c r="B102" s="49" t="s">
        <v>112</v>
      </c>
      <c r="C102" s="49"/>
      <c r="D102" s="49"/>
      <c r="E102" s="16">
        <f>SUM(E86:E98)</f>
        <v>482.42657825100002</v>
      </c>
      <c r="F102" s="16"/>
      <c r="G102" s="16"/>
      <c r="H102" s="16">
        <f>SUM(H86:H98)</f>
        <v>482.42657825100002</v>
      </c>
      <c r="I102" s="49"/>
      <c r="J102" s="48"/>
    </row>
    <row r="104" spans="2:10" x14ac:dyDescent="0.25">
      <c r="B104" s="29" t="s">
        <v>34</v>
      </c>
    </row>
    <row r="105" spans="2:10" x14ac:dyDescent="0.25">
      <c r="B105" s="63" t="s">
        <v>199</v>
      </c>
      <c r="E105" s="8">
        <f>243736617.08/10^7</f>
        <v>24.373661708</v>
      </c>
      <c r="H105" s="8">
        <f t="shared" ref="H105" si="10">E105*J105</f>
        <v>24.373661708</v>
      </c>
      <c r="J105" s="41">
        <v>1</v>
      </c>
    </row>
    <row r="107" spans="2:10" x14ac:dyDescent="0.25">
      <c r="B107" s="49" t="s">
        <v>112</v>
      </c>
      <c r="C107" s="49"/>
      <c r="D107" s="49"/>
      <c r="E107" s="16">
        <f>SUM(E105)</f>
        <v>24.373661708</v>
      </c>
      <c r="F107" s="16"/>
      <c r="G107" s="16"/>
      <c r="H107" s="16">
        <f>SUM(H105)</f>
        <v>24.373661708</v>
      </c>
      <c r="I107" s="49"/>
      <c r="J107" s="48"/>
    </row>
    <row r="108" spans="2:10" x14ac:dyDescent="0.25">
      <c r="B108" s="29"/>
    </row>
    <row r="109" spans="2:10" x14ac:dyDescent="0.25">
      <c r="B109" s="29" t="s">
        <v>200</v>
      </c>
    </row>
    <row r="110" spans="2:10" x14ac:dyDescent="0.25">
      <c r="B110" s="63" t="s">
        <v>201</v>
      </c>
      <c r="E110" s="8">
        <f>22924994/10^7</f>
        <v>2.2924994000000001</v>
      </c>
      <c r="H110" s="8">
        <f t="shared" ref="H110:H119" si="11">E110*J110</f>
        <v>2.2924994000000001</v>
      </c>
      <c r="J110" s="41">
        <v>1</v>
      </c>
    </row>
    <row r="111" spans="2:10" x14ac:dyDescent="0.25">
      <c r="B111" s="63" t="s">
        <v>202</v>
      </c>
      <c r="E111" s="8">
        <f>1271779.82/10^7</f>
        <v>0.12717798199999999</v>
      </c>
      <c r="H111" s="8">
        <f t="shared" si="11"/>
        <v>0.12717798199999999</v>
      </c>
      <c r="J111" s="41">
        <v>1</v>
      </c>
    </row>
    <row r="112" spans="2:10" x14ac:dyDescent="0.25">
      <c r="B112" s="63" t="s">
        <v>203</v>
      </c>
      <c r="E112" s="8">
        <f>182931728.97/10^7</f>
        <v>18.293172897000002</v>
      </c>
      <c r="H112" s="8">
        <f t="shared" si="11"/>
        <v>18.293172897000002</v>
      </c>
      <c r="J112" s="41">
        <v>1</v>
      </c>
    </row>
    <row r="113" spans="2:10" x14ac:dyDescent="0.25">
      <c r="B113" s="63" t="s">
        <v>204</v>
      </c>
      <c r="E113" s="8">
        <f>17579338/10^7</f>
        <v>1.7579338</v>
      </c>
      <c r="H113" s="8">
        <f t="shared" si="11"/>
        <v>1.7579338</v>
      </c>
      <c r="J113" s="41">
        <v>1</v>
      </c>
    </row>
    <row r="114" spans="2:10" x14ac:dyDescent="0.25">
      <c r="B114" s="63" t="s">
        <v>209</v>
      </c>
      <c r="E114" s="8">
        <f>104281087.17/10^7</f>
        <v>10.428108717000001</v>
      </c>
      <c r="H114" s="8">
        <f t="shared" si="11"/>
        <v>10.428108717000001</v>
      </c>
      <c r="J114" s="41">
        <v>1</v>
      </c>
    </row>
    <row r="115" spans="2:10" x14ac:dyDescent="0.25">
      <c r="B115" s="63" t="s">
        <v>205</v>
      </c>
      <c r="E115" s="8">
        <f>5419346/10^7</f>
        <v>0.54193460000000004</v>
      </c>
      <c r="H115" s="8">
        <f t="shared" si="11"/>
        <v>0.54193460000000004</v>
      </c>
      <c r="J115" s="41">
        <v>1</v>
      </c>
    </row>
    <row r="116" spans="2:10" x14ac:dyDescent="0.25">
      <c r="B116" s="63" t="s">
        <v>206</v>
      </c>
      <c r="E116" s="8">
        <f>255884/10^7</f>
        <v>2.5588400000000001E-2</v>
      </c>
      <c r="H116" s="8">
        <f t="shared" si="11"/>
        <v>2.5588400000000001E-2</v>
      </c>
      <c r="J116" s="41">
        <v>1</v>
      </c>
    </row>
    <row r="117" spans="2:10" x14ac:dyDescent="0.25">
      <c r="B117" s="63" t="s">
        <v>207</v>
      </c>
      <c r="E117" s="8">
        <f>2052969/10^7</f>
        <v>0.2052969</v>
      </c>
      <c r="H117" s="8">
        <f t="shared" si="11"/>
        <v>0.2052969</v>
      </c>
      <c r="J117" s="41">
        <v>1</v>
      </c>
    </row>
    <row r="118" spans="2:10" x14ac:dyDescent="0.25">
      <c r="B118" s="63" t="s">
        <v>208</v>
      </c>
      <c r="E118" s="8">
        <f>420565/10^7</f>
        <v>4.2056499999999997E-2</v>
      </c>
      <c r="H118" s="8">
        <f t="shared" si="11"/>
        <v>4.2056499999999997E-2</v>
      </c>
      <c r="J118" s="41">
        <v>1</v>
      </c>
    </row>
    <row r="119" spans="2:10" x14ac:dyDescent="0.25">
      <c r="B119" s="63" t="s">
        <v>210</v>
      </c>
      <c r="E119" s="8">
        <f>46100154.44/10^7</f>
        <v>4.6100154440000001</v>
      </c>
      <c r="H119" s="8">
        <f t="shared" si="11"/>
        <v>4.6100154440000001</v>
      </c>
      <c r="J119" s="41">
        <v>1</v>
      </c>
    </row>
    <row r="121" spans="2:10" x14ac:dyDescent="0.25">
      <c r="B121" s="49" t="s">
        <v>112</v>
      </c>
      <c r="C121" s="49"/>
      <c r="D121" s="49"/>
      <c r="E121" s="16">
        <f>SUM(E110:E119)</f>
        <v>38.323784639999992</v>
      </c>
      <c r="F121" s="16"/>
      <c r="G121" s="16"/>
      <c r="H121" s="16">
        <f>SUM(H110:H119)</f>
        <v>38.323784639999992</v>
      </c>
      <c r="I121" s="49"/>
      <c r="J121" s="48"/>
    </row>
    <row r="123" spans="2:10" x14ac:dyDescent="0.25">
      <c r="B123" s="29" t="s">
        <v>211</v>
      </c>
    </row>
    <row r="124" spans="2:10" x14ac:dyDescent="0.25">
      <c r="B124" s="63" t="s">
        <v>212</v>
      </c>
      <c r="E124" s="8">
        <f>143272883/10^7</f>
        <v>14.327288299999999</v>
      </c>
      <c r="H124" s="8">
        <f t="shared" ref="H124" si="12">E124*J124</f>
        <v>14.327288299999999</v>
      </c>
      <c r="J124" s="41">
        <v>1</v>
      </c>
    </row>
    <row r="125" spans="2:10" x14ac:dyDescent="0.25">
      <c r="B125" s="63" t="s">
        <v>213</v>
      </c>
    </row>
    <row r="127" spans="2:10" x14ac:dyDescent="0.25">
      <c r="B127" s="49" t="s">
        <v>112</v>
      </c>
      <c r="C127" s="49"/>
      <c r="D127" s="49"/>
      <c r="E127" s="16">
        <f>SUM(E124)</f>
        <v>14.327288299999999</v>
      </c>
      <c r="F127" s="16"/>
      <c r="G127" s="16"/>
      <c r="H127" s="16">
        <f>SUM(H124)</f>
        <v>14.327288299999999</v>
      </c>
      <c r="I127" s="49"/>
      <c r="J127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NAV EV</vt:lpstr>
      <vt:lpstr>Sheet1</vt:lpstr>
      <vt:lpstr>Fixed Assets</vt:lpstr>
      <vt:lpstr>Non Current Investment</vt:lpstr>
      <vt:lpstr>Current Assets</vt:lpstr>
      <vt:lpstr>Equity &amp; Liabilities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2022-05-31T14:05:48Z</dcterms:modified>
</cp:coreProperties>
</file>